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ttps://nysed-my.sharepoint.com/personal/nicole_madlin_nysed_gov/Documents/Desktop/WEBSITE/MSA CAP/23-24 uploads/"/>
    </mc:Choice>
  </mc:AlternateContent>
  <xr:revisionPtr revIDLastSave="0" documentId="8_{A524C0CE-6EFB-4DFF-A029-B688F83B1E58}" xr6:coauthVersionLast="47" xr6:coauthVersionMax="47" xr10:uidLastSave="{00000000-0000-0000-0000-000000000000}"/>
  <bookViews>
    <workbookView xWindow="31395" yWindow="720" windowWidth="21480" windowHeight="13080" tabRatio="898" firstSheet="10" activeTab="18" xr2:uid="{E5D533C2-EB92-4526-A45A-A9A1A9589B0F}"/>
  </bookViews>
  <sheets>
    <sheet name="Instructions" sheetId="21" r:id="rId1"/>
    <sheet name="Prep-Applicant" sheetId="22" r:id="rId2"/>
    <sheet name="Prep- Enrollment" sheetId="7" r:id="rId3"/>
    <sheet name="Prep-Parameter" sheetId="29" r:id="rId4"/>
    <sheet name="Mandate 1" sheetId="30" r:id="rId5"/>
    <sheet name="Mandate 2" sheetId="12" r:id="rId6"/>
    <sheet name="Mandate 3" sheetId="14" r:id="rId7"/>
    <sheet name="Mandate 4" sheetId="13" r:id="rId8"/>
    <sheet name="Mandate 6" sheetId="15" r:id="rId9"/>
    <sheet name="Mandate 7" sheetId="16" r:id="rId10"/>
    <sheet name="Mandate 8" sheetId="17" r:id="rId11"/>
    <sheet name="Mandate 9" sheetId="18" r:id="rId12"/>
    <sheet name="Mandate 10" sheetId="19" r:id="rId13"/>
    <sheet name="Mandate 11" sheetId="20" r:id="rId14"/>
    <sheet name="Mandate 12" sheetId="23" r:id="rId15"/>
    <sheet name="Mandate 13" sheetId="24" r:id="rId16"/>
    <sheet name="Mandate 14" sheetId="25" r:id="rId17"/>
    <sheet name="Mandate 17" sheetId="26" r:id="rId18"/>
    <sheet name="Mandate 18" sheetId="27" r:id="rId19"/>
    <sheet name="Mandate 19" sheetId="28" r:id="rId20"/>
    <sheet name="CAP" sheetId="32" r:id="rId21"/>
    <sheet name="Summary of Expenditures" sheetId="8" r:id="rId2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9" i="19" l="1"/>
  <c r="D17" i="19"/>
  <c r="D16" i="19"/>
  <c r="E18" i="25"/>
  <c r="B18" i="27"/>
  <c r="B18" i="20"/>
  <c r="B39" i="13"/>
  <c r="B42" i="12"/>
  <c r="B41" i="12"/>
  <c r="G19" i="30"/>
  <c r="F5" i="12"/>
  <c r="F16" i="24"/>
  <c r="F21" i="18"/>
  <c r="F17" i="16"/>
  <c r="D12" i="15"/>
  <c r="F17" i="14"/>
  <c r="E5" i="20" l="1"/>
  <c r="D18" i="20" s="1"/>
  <c r="E22" i="23"/>
  <c r="E21" i="23"/>
  <c r="E20" i="23"/>
  <c r="E19" i="23"/>
  <c r="E18" i="23"/>
  <c r="E17" i="23"/>
  <c r="E16" i="23"/>
  <c r="E15" i="23"/>
  <c r="G22" i="23"/>
  <c r="G21" i="23"/>
  <c r="G20" i="23"/>
  <c r="G19" i="23"/>
  <c r="G18" i="23"/>
  <c r="G17" i="23"/>
  <c r="G16" i="23"/>
  <c r="G15" i="23"/>
  <c r="C23" i="23"/>
  <c r="C20" i="23"/>
  <c r="E9" i="23"/>
  <c r="E10" i="23" s="1"/>
  <c r="D9" i="23"/>
  <c r="D10" i="23" s="1"/>
  <c r="C9" i="23"/>
  <c r="G9" i="23"/>
  <c r="G10" i="23" s="1"/>
  <c r="K9" i="23"/>
  <c r="K10" i="23" s="1"/>
  <c r="E23" i="23" s="1"/>
  <c r="J9" i="23"/>
  <c r="J10" i="23" s="1"/>
  <c r="I9" i="23"/>
  <c r="I10" i="23" s="1"/>
  <c r="H9" i="23"/>
  <c r="H10" i="23" s="1"/>
  <c r="F9" i="23"/>
  <c r="F10" i="23" s="1"/>
  <c r="C10" i="23"/>
  <c r="D9" i="28"/>
  <c r="E13" i="27"/>
  <c r="E14" i="27" s="1"/>
  <c r="D13" i="27"/>
  <c r="D14" i="27" s="1"/>
  <c r="C13" i="27"/>
  <c r="C14" i="27" s="1"/>
  <c r="C24" i="27" s="1"/>
  <c r="D24" i="27" s="1"/>
  <c r="F27" i="27" s="1"/>
  <c r="E6" i="27"/>
  <c r="E5" i="27"/>
  <c r="F32" i="25"/>
  <c r="E13" i="25"/>
  <c r="E14" i="25" s="1"/>
  <c r="C20" i="25" s="1"/>
  <c r="D20" i="25" s="1"/>
  <c r="D13" i="25"/>
  <c r="D14" i="25" s="1"/>
  <c r="C19" i="25" s="1"/>
  <c r="D19" i="25" s="1"/>
  <c r="C13" i="25"/>
  <c r="C14" i="25" s="1"/>
  <c r="C24" i="25" s="1"/>
  <c r="D24" i="25" s="1"/>
  <c r="F31" i="25" s="1"/>
  <c r="E6" i="25"/>
  <c r="B18" i="25" s="1"/>
  <c r="E5" i="25"/>
  <c r="E13" i="24"/>
  <c r="D14" i="24"/>
  <c r="D9" i="24"/>
  <c r="E8" i="24"/>
  <c r="D8" i="24"/>
  <c r="F32" i="20"/>
  <c r="F31" i="20"/>
  <c r="D46" i="12"/>
  <c r="G49" i="12" s="1"/>
  <c r="D24" i="20"/>
  <c r="C24" i="20"/>
  <c r="D20" i="20"/>
  <c r="D19" i="20"/>
  <c r="C20" i="20"/>
  <c r="C19" i="20"/>
  <c r="C18" i="20"/>
  <c r="E6" i="20"/>
  <c r="E13" i="20"/>
  <c r="D13" i="20"/>
  <c r="C13" i="20"/>
  <c r="E11" i="19"/>
  <c r="D11" i="19"/>
  <c r="D19" i="18"/>
  <c r="D18" i="18"/>
  <c r="D17" i="18"/>
  <c r="E12" i="18"/>
  <c r="D12" i="18"/>
  <c r="C12" i="18"/>
  <c r="D15" i="16"/>
  <c r="D14" i="16"/>
  <c r="D10" i="16"/>
  <c r="E9" i="16"/>
  <c r="D9" i="16"/>
  <c r="D11" i="15"/>
  <c r="D10" i="15"/>
  <c r="E15" i="14"/>
  <c r="E14" i="14"/>
  <c r="E13" i="14"/>
  <c r="D15" i="14"/>
  <c r="D14" i="14"/>
  <c r="D13" i="14"/>
  <c r="E9" i="14"/>
  <c r="D9" i="14"/>
  <c r="C9" i="14"/>
  <c r="E8" i="14"/>
  <c r="D8" i="14"/>
  <c r="C8" i="14"/>
  <c r="E35" i="12"/>
  <c r="D35" i="12"/>
  <c r="C35" i="12"/>
  <c r="E36" i="12"/>
  <c r="D36" i="12"/>
  <c r="C36" i="12"/>
  <c r="D5" i="12"/>
  <c r="D16" i="7"/>
  <c r="F11" i="12"/>
  <c r="D28" i="12"/>
  <c r="D27" i="12"/>
  <c r="D26" i="12"/>
  <c r="D25" i="12"/>
  <c r="D24" i="12"/>
  <c r="D23" i="12"/>
  <c r="D22" i="12"/>
  <c r="D21" i="12"/>
  <c r="D20" i="12"/>
  <c r="D19" i="12"/>
  <c r="D18" i="12"/>
  <c r="D17" i="12"/>
  <c r="D16" i="12"/>
  <c r="D15" i="12"/>
  <c r="D14" i="12"/>
  <c r="D13" i="12"/>
  <c r="D12" i="12"/>
  <c r="D11" i="12"/>
  <c r="E14" i="30"/>
  <c r="D14" i="30"/>
  <c r="C14" i="30"/>
  <c r="B13" i="14"/>
  <c r="C13" i="14" s="1"/>
  <c r="D8" i="12"/>
  <c r="D7" i="12"/>
  <c r="E18" i="20" l="1"/>
  <c r="F30" i="20" s="1"/>
  <c r="F33" i="20" s="1"/>
  <c r="G23" i="23"/>
  <c r="C18" i="25"/>
  <c r="D10" i="12"/>
  <c r="D9" i="12"/>
  <c r="D6" i="12"/>
  <c r="F53" i="13"/>
  <c r="C12" i="8"/>
  <c r="C16" i="8"/>
  <c r="C15" i="8"/>
  <c r="D18" i="8"/>
  <c r="C24" i="8"/>
  <c r="C30" i="8"/>
  <c r="D33" i="8"/>
  <c r="F7" i="13"/>
  <c r="C8" i="17"/>
  <c r="C13" i="24"/>
  <c r="D13" i="24" s="1"/>
  <c r="D18" i="25"/>
  <c r="D37" i="8"/>
  <c r="C19" i="27"/>
  <c r="D19" i="27" s="1"/>
  <c r="E9" i="24"/>
  <c r="C14" i="24" s="1"/>
  <c r="E14" i="20"/>
  <c r="D14" i="20"/>
  <c r="C14" i="20"/>
  <c r="E13" i="18"/>
  <c r="D13" i="18"/>
  <c r="C18" i="18" s="1"/>
  <c r="C13" i="18"/>
  <c r="E10" i="16"/>
  <c r="F27" i="13"/>
  <c r="B41" i="13" s="1"/>
  <c r="C4" i="32"/>
  <c r="C10" i="30"/>
  <c r="B19" i="30" s="1"/>
  <c r="C15" i="30"/>
  <c r="E19" i="30" s="1"/>
  <c r="E15" i="30"/>
  <c r="D7" i="32" s="1"/>
  <c r="D15" i="30"/>
  <c r="E34" i="13"/>
  <c r="E35" i="13" s="1"/>
  <c r="D34" i="13"/>
  <c r="D35" i="13" s="1"/>
  <c r="C34" i="13"/>
  <c r="C35" i="13" s="1"/>
  <c r="E12" i="19"/>
  <c r="D12" i="19"/>
  <c r="F40" i="12"/>
  <c r="H7" i="29"/>
  <c r="H9" i="29" s="1"/>
  <c r="B4" i="32"/>
  <c r="B17" i="18"/>
  <c r="F9" i="13"/>
  <c r="F5" i="13"/>
  <c r="D5" i="18"/>
  <c r="F25" i="13"/>
  <c r="F23" i="13"/>
  <c r="F21" i="13"/>
  <c r="F19" i="13"/>
  <c r="F17" i="13"/>
  <c r="F15" i="13"/>
  <c r="F13" i="13"/>
  <c r="F11" i="13"/>
  <c r="E6" i="26"/>
  <c r="F30" i="25" l="1"/>
  <c r="F33" i="25" s="1"/>
  <c r="K25" i="23"/>
  <c r="D25" i="8" s="1"/>
  <c r="D18" i="27"/>
  <c r="E18" i="27" s="1"/>
  <c r="F26" i="27" s="1"/>
  <c r="F28" i="27" s="1"/>
  <c r="D19" i="30"/>
  <c r="F19" i="30" s="1"/>
  <c r="C12" i="32"/>
  <c r="C11" i="32"/>
  <c r="C13" i="32"/>
  <c r="D13" i="32" s="1"/>
  <c r="C18" i="32"/>
  <c r="C19" i="32"/>
  <c r="D19" i="32" s="1"/>
  <c r="C17" i="32"/>
  <c r="D14" i="8"/>
  <c r="C39" i="13"/>
  <c r="D39" i="13" s="1"/>
  <c r="E39" i="13" s="1"/>
  <c r="F51" i="13" s="1"/>
  <c r="F54" i="13" s="1"/>
  <c r="C20" i="27"/>
  <c r="D20" i="27" s="1"/>
  <c r="D26" i="8"/>
  <c r="C19" i="18"/>
  <c r="C17" i="18"/>
  <c r="D19" i="8" s="1"/>
  <c r="C41" i="13"/>
  <c r="D41" i="13" s="1"/>
  <c r="D42" i="12"/>
  <c r="C41" i="12"/>
  <c r="D21" i="30"/>
  <c r="D20" i="30"/>
  <c r="C7" i="32"/>
  <c r="B7" i="32"/>
  <c r="B40" i="12"/>
  <c r="C40" i="12"/>
  <c r="C17" i="19"/>
  <c r="C16" i="19"/>
  <c r="D41" i="12"/>
  <c r="C40" i="13"/>
  <c r="D40" i="13" s="1"/>
  <c r="C42" i="12"/>
  <c r="C29" i="8"/>
  <c r="C23" i="8"/>
  <c r="C15" i="16"/>
  <c r="C14" i="16"/>
  <c r="D17" i="8" s="1"/>
  <c r="C45" i="13"/>
  <c r="D45" i="13" s="1"/>
  <c r="F52" i="13" s="1"/>
  <c r="C11" i="8" s="1"/>
  <c r="C36" i="8"/>
  <c r="C18" i="27"/>
  <c r="E20" i="30"/>
  <c r="E21" i="30"/>
  <c r="C46" i="12"/>
  <c r="C7" i="8" s="1"/>
  <c r="E16" i="19" l="1"/>
  <c r="D20" i="8" s="1"/>
  <c r="C35" i="8"/>
  <c r="D34" i="8" s="1"/>
  <c r="C28" i="8"/>
  <c r="D27" i="8" s="1"/>
  <c r="D17" i="32"/>
  <c r="D11" i="32"/>
  <c r="D18" i="32"/>
  <c r="F21" i="30"/>
  <c r="D12" i="32"/>
  <c r="F20" i="30"/>
  <c r="C22" i="8"/>
  <c r="D21" i="8" s="1"/>
  <c r="D40" i="12"/>
  <c r="E21" i="32" l="1"/>
  <c r="D40" i="8" s="1"/>
  <c r="E40" i="12"/>
  <c r="G48" i="12" s="1"/>
  <c r="G50" i="12" s="1"/>
  <c r="C10" i="8"/>
  <c r="D9" i="8" s="1"/>
  <c r="D8" i="8" a="1"/>
  <c r="D8" i="8" s="1"/>
  <c r="G23" i="30" l="1"/>
  <c r="D4" i="8" s="1"/>
  <c r="C6" i="8"/>
  <c r="D5" i="8" s="1"/>
  <c r="D39" i="8" l="1"/>
  <c r="D41"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<sst xmlns="http://schemas.openxmlformats.org/spreadsheetml/2006/main" count="938" uniqueCount="484">
  <si>
    <t>MSA-CAP Workbook</t>
  </si>
  <si>
    <t>Instructions</t>
  </si>
  <si>
    <t>School Year 2023-2024</t>
  </si>
  <si>
    <t>Key- Workbook Fields</t>
  </si>
  <si>
    <t>Guidance &amp; Resource
Documents</t>
  </si>
  <si>
    <t>Please read the MSA-CAP Guidelines for the 2023-24 school year before completing the tabs in this workbook to prepare you to begin to enter data.  Visit the website for additional documents and/or updates to the MSA-CAP reimbursement process.</t>
  </si>
  <si>
    <r>
      <rPr>
        <b/>
        <sz val="11"/>
        <color theme="1"/>
        <rFont val="Calibri"/>
        <family val="2"/>
        <scheme val="minor"/>
      </rPr>
      <t>DATA ENTRY FIELD</t>
    </r>
    <r>
      <rPr>
        <sz val="11"/>
        <color theme="1"/>
        <rFont val="Calibri"/>
        <family val="2"/>
        <scheme val="minor"/>
      </rPr>
      <t xml:space="preserve">
Enter data in </t>
    </r>
    <r>
      <rPr>
        <u/>
        <sz val="11"/>
        <color theme="1"/>
        <rFont val="Calibri"/>
        <family val="2"/>
        <scheme val="minor"/>
      </rPr>
      <t>ALL</t>
    </r>
    <r>
      <rPr>
        <sz val="11"/>
        <color theme="1"/>
        <rFont val="Calibri"/>
        <family val="2"/>
        <scheme val="minor"/>
      </rPr>
      <t xml:space="preserve"> the yellow areas
All other fields will be locked</t>
    </r>
  </si>
  <si>
    <t>Workbook
Layout</t>
  </si>
  <si>
    <r>
      <rPr>
        <sz val="11"/>
        <color rgb="FF000000"/>
        <rFont val="Calibri"/>
        <scheme val="minor"/>
      </rPr>
      <t xml:space="preserve">This workbook has multiple tabs (accessed at the bottom of the screen) and is comprised of:
    </t>
    </r>
    <r>
      <rPr>
        <b/>
        <sz val="11"/>
        <color rgb="FF000000"/>
        <rFont val="Calibri"/>
        <scheme val="minor"/>
      </rPr>
      <t>'Prep' (REQUIRED)</t>
    </r>
    <r>
      <rPr>
        <sz val="11"/>
        <color rgb="FF000000"/>
        <rFont val="Calibri"/>
        <scheme val="minor"/>
      </rPr>
      <t xml:space="preserve">: these tabs collect data used for autocalculations throught the workbook.  These tabs are yellow and there are three (3).  
   </t>
    </r>
    <r>
      <rPr>
        <b/>
        <sz val="11"/>
        <color rgb="FF000000"/>
        <rFont val="Calibri"/>
        <scheme val="minor"/>
      </rPr>
      <t xml:space="preserve"> 'Mandate':</t>
    </r>
    <r>
      <rPr>
        <sz val="11"/>
        <color rgb="FF000000"/>
        <rFont val="Calibri"/>
        <scheme val="minor"/>
      </rPr>
      <t xml:space="preserve"> each Mandate has a dedicated tab.  To submit a reimbursement claim, enter data in yellow fields on the affiliated Mandate tab.
    </t>
    </r>
    <r>
      <rPr>
        <b/>
        <sz val="11"/>
        <color rgb="FF000000"/>
        <rFont val="Calibri"/>
        <scheme val="minor"/>
      </rPr>
      <t>'Summary of Expenditures'</t>
    </r>
    <r>
      <rPr>
        <sz val="11"/>
        <color rgb="FF000000"/>
        <rFont val="Calibri"/>
        <scheme val="minor"/>
      </rPr>
      <t>: Automatically populate affiliated 'Mandate" tabs are completed.  This is a locked tab.</t>
    </r>
  </si>
  <si>
    <r>
      <rPr>
        <b/>
        <sz val="11"/>
        <color theme="1"/>
        <rFont val="Calibri"/>
        <family val="2"/>
        <scheme val="minor"/>
      </rPr>
      <t>FLAT/FIXED RATE FIELD</t>
    </r>
    <r>
      <rPr>
        <sz val="11"/>
        <color theme="1"/>
        <rFont val="Calibri"/>
        <family val="2"/>
        <scheme val="minor"/>
      </rPr>
      <t xml:space="preserve">
Red fields are pre-determined and locked for use
Fields are locked and you may </t>
    </r>
    <r>
      <rPr>
        <u/>
        <sz val="11"/>
        <color theme="1"/>
        <rFont val="Calibri"/>
        <family val="2"/>
        <scheme val="minor"/>
      </rPr>
      <t>not</t>
    </r>
    <r>
      <rPr>
        <sz val="11"/>
        <color theme="1"/>
        <rFont val="Calibri"/>
        <family val="2"/>
        <scheme val="minor"/>
      </rPr>
      <t xml:space="preserve"> enter data here</t>
    </r>
  </si>
  <si>
    <t>Workbook
Instructions</t>
  </si>
  <si>
    <t>1) Read this 'Instructions' tab
2) Populate 'Prep-Applicant' tab with schools data from SEDREF
3) Complete the 'Prep-Enrollment' and 'Prep-Parameter' tabs (REQUIRED to move onto 'Mandate' tabs)
4) Remember to save your workbook.  We recommend saving after completing each tab.</t>
  </si>
  <si>
    <r>
      <rPr>
        <b/>
        <sz val="11"/>
        <color theme="1"/>
        <rFont val="Calibri"/>
        <family val="2"/>
        <scheme val="minor"/>
      </rPr>
      <t>MANDATE SUBTOTAL/TOTAL FIELD</t>
    </r>
    <r>
      <rPr>
        <sz val="11"/>
        <color theme="1"/>
        <rFont val="Calibri"/>
        <family val="2"/>
        <scheme val="minor"/>
      </rPr>
      <t xml:space="preserve">
Green fields  will be auto-calculated
Fields are locked and you may </t>
    </r>
    <r>
      <rPr>
        <u/>
        <sz val="11"/>
        <color theme="1"/>
        <rFont val="Calibri"/>
        <family val="2"/>
        <scheme val="minor"/>
      </rPr>
      <t>not</t>
    </r>
    <r>
      <rPr>
        <sz val="11"/>
        <color theme="1"/>
        <rFont val="Calibri"/>
        <family val="2"/>
        <scheme val="minor"/>
      </rPr>
      <t xml:space="preserve"> enter data here</t>
    </r>
  </si>
  <si>
    <t>Year-Over-Year
Variance
Notes</t>
  </si>
  <si>
    <t xml:space="preserve"> To assist NYSED in the timely review of MSA-CAP claims placed on hold, schools must provide an explanation for any year-to-year changes in total and average hourly compensation, staffing levels, hours worked, tests administered, enrollment, etc., both in the MSA-CAP system and in the MSA-CAP workbook. There is a text box on each tab accompanying each individual mandate. </t>
  </si>
  <si>
    <r>
      <rPr>
        <b/>
        <sz val="11"/>
        <color theme="1"/>
        <rFont val="Calibri"/>
        <family val="2"/>
        <scheme val="minor"/>
      </rPr>
      <t xml:space="preserve">AUTOCALCULATE/AUTOPOPULATE </t>
    </r>
    <r>
      <rPr>
        <sz val="11"/>
        <color theme="1"/>
        <rFont val="Calibri"/>
        <family val="2"/>
        <scheme val="minor"/>
      </rPr>
      <t xml:space="preserve">
Orange fields are auto-filled based on yellow field entries
Fields are locked and you </t>
    </r>
    <r>
      <rPr>
        <u/>
        <sz val="11"/>
        <color theme="1"/>
        <rFont val="Calibri"/>
        <family val="2"/>
        <scheme val="minor"/>
      </rPr>
      <t>may</t>
    </r>
    <r>
      <rPr>
        <sz val="11"/>
        <color theme="1"/>
        <rFont val="Calibri"/>
        <family val="2"/>
        <scheme val="minor"/>
      </rPr>
      <t xml:space="preserve"> not enter data here</t>
    </r>
  </si>
  <si>
    <t>Required Submission Components</t>
  </si>
  <si>
    <r>
      <t xml:space="preserve">Email Submissions have two(2) </t>
    </r>
    <r>
      <rPr>
        <b/>
        <sz val="11"/>
        <color rgb="FF000000"/>
        <rFont val="Calibri"/>
        <family val="2"/>
        <scheme val="minor"/>
      </rPr>
      <t>REQUIRED</t>
    </r>
    <r>
      <rPr>
        <sz val="11"/>
        <color rgb="FF000000"/>
        <rFont val="Calibri"/>
        <family val="2"/>
        <scheme val="minor"/>
      </rPr>
      <t xml:space="preserve"> components: 
1) Workbook with the three completed 'Prep' tabs along with any affiliated 'Mandate' claims. 
2) Attestation Certification Form, Signed by the Chief Executive Officer or Chief Financial Officer. 
Email Submitted lacking either of these will be considered incomplete and will </t>
    </r>
    <r>
      <rPr>
        <u/>
        <sz val="11"/>
        <color rgb="FF000000"/>
        <rFont val="Calibri"/>
        <family val="2"/>
        <scheme val="minor"/>
      </rPr>
      <t>not</t>
    </r>
    <r>
      <rPr>
        <sz val="11"/>
        <color rgb="FF000000"/>
        <rFont val="Calibri"/>
        <family val="2"/>
        <scheme val="minor"/>
      </rPr>
      <t xml:space="preserve"> be processed.  </t>
    </r>
  </si>
  <si>
    <t>Submission Deadline is April 1, 2025</t>
  </si>
  <si>
    <t xml:space="preserve">
</t>
  </si>
  <si>
    <t>Come Prepared: Document Collection</t>
  </si>
  <si>
    <r>
      <rPr>
        <b/>
        <sz val="11"/>
        <color theme="1"/>
        <rFont val="Calibri"/>
        <family val="2"/>
        <scheme val="minor"/>
      </rPr>
      <t>General Documents:</t>
    </r>
    <r>
      <rPr>
        <sz val="11"/>
        <color theme="1"/>
        <rFont val="Calibri"/>
        <family val="2"/>
        <scheme val="minor"/>
      </rPr>
      <t xml:space="preserve"> Attendance Reports, Elementary and Secondary Testing Records, BEDS Report, Receipts for Test Kits, Calculators, Scanning &amp; Scoring of Exams, and Teacher Workshop Documentation
</t>
    </r>
    <r>
      <rPr>
        <b/>
        <sz val="11"/>
        <color theme="1"/>
        <rFont val="Calibri"/>
        <family val="2"/>
        <scheme val="minor"/>
      </rPr>
      <t xml:space="preserve">Payroll Documents: </t>
    </r>
    <r>
      <rPr>
        <sz val="11"/>
        <color theme="1"/>
        <rFont val="Calibri"/>
        <family val="2"/>
        <scheme val="minor"/>
      </rPr>
      <t>Gross salary, hours worked, and allowable fringe benefits, Payroll Company Records for Teachers, Administrators &amp; Support Staff, Teacher Contracts/Hiring agreements, Mandate-Specific Staffing Lists (who provided supported each mandate)</t>
    </r>
  </si>
  <si>
    <t xml:space="preserve"> Submission options include:
1) Online via NYSED Business Portal
2) Email to MSA-CAP-ORISS@NYSED.gov</t>
  </si>
  <si>
    <t>Applicant Information- Institution</t>
  </si>
  <si>
    <t>School Name</t>
  </si>
  <si>
    <t>School Address</t>
  </si>
  <si>
    <t>School BEDS Code</t>
  </si>
  <si>
    <t>OSC Vendor ID</t>
  </si>
  <si>
    <t>Institution ID</t>
  </si>
  <si>
    <t>Contact Name</t>
  </si>
  <si>
    <t>Email/ Phone</t>
  </si>
  <si>
    <t>Mandate 0- Preparation</t>
  </si>
  <si>
    <t>Enrollment</t>
  </si>
  <si>
    <t>Grade Level</t>
  </si>
  <si>
    <t xml:space="preserve">2023-2024 Enrollment
(Enter # for each category) </t>
  </si>
  <si>
    <t xml:space="preserve"> Enrollment Notes</t>
  </si>
  <si>
    <t>Grades K-6</t>
  </si>
  <si>
    <t>Open Enrollment</t>
  </si>
  <si>
    <t># of pupils who attended the first day of school +  those who were registered but were absent on opening day</t>
  </si>
  <si>
    <t>Grades 7-8</t>
  </si>
  <si>
    <t>Closing Enrollment</t>
  </si>
  <si>
    <t># of pupils still enrolled when school closed at the end of the year</t>
  </si>
  <si>
    <t>Grades 9-12</t>
  </si>
  <si>
    <t>BEDS Enrollment</t>
  </si>
  <si>
    <t># of pupils submitted to NYSED based on a count taken during the first week of October 2024</t>
  </si>
  <si>
    <t>Ungraded Elementary</t>
  </si>
  <si>
    <t>Enrollment Type</t>
  </si>
  <si>
    <t>Enter "opening", "closing" or "BEDS" to indicate which enrollment data was entered</t>
  </si>
  <si>
    <t>Ungraded Secondary</t>
  </si>
  <si>
    <t>Ungraded</t>
  </si>
  <si>
    <t>Ungraded pupils under the age of 13 should be counted as ungraded elementary</t>
  </si>
  <si>
    <t>Enrollment Type*</t>
  </si>
  <si>
    <t>Ungraded pupils over the age of 13 should be counted as ungraded secondary</t>
  </si>
  <si>
    <r>
      <rPr>
        <sz val="11"/>
        <color rgb="FF000000"/>
        <rFont val="Calibri"/>
      </rPr>
      <t xml:space="preserve">Using Drop Down, Select
"Opening", 
"Closing"
</t>
    </r>
    <r>
      <rPr>
        <b/>
        <u/>
        <sz val="11"/>
        <color rgb="FF000000"/>
        <rFont val="Calibri"/>
      </rPr>
      <t>OR</t>
    </r>
    <r>
      <rPr>
        <sz val="11"/>
        <color rgb="FF000000"/>
        <rFont val="Calibri"/>
      </rPr>
      <t xml:space="preserve"> "BEDS" </t>
    </r>
  </si>
  <si>
    <t>BEDS</t>
  </si>
  <si>
    <t>Total Enrollments</t>
  </si>
  <si>
    <t>Sum of enrollments entered for each grade (Cell B4+B5+B6+B7+B8, autocalculated)
Total Opening, Closing or BEDS Enrollments, select whichever is the HIGHEST
Do not include enrollment of nursery school or pre-kindergarten pupils
Do not include enrollment of postgraduate students
Do not include pupils with disabilities who are enrolled pursuant to a contract with a public school district or NYSED</t>
  </si>
  <si>
    <t>Variance</t>
  </si>
  <si>
    <t xml:space="preserve">*When selecting Opening or Closing enrollment, if the enrollment varies from the reported BEDS data, a clear and detailed explanation of the variance must be provided.  An explanation for any year-to-year increase in enrollment should also be provided in both the MSA-CAP system and in the MSA-CAP workbook.  </t>
  </si>
  <si>
    <t>Total Enrollments (Autocalculated) =============&gt;</t>
  </si>
  <si>
    <t>Time &amp; Effort Parameters</t>
  </si>
  <si>
    <t>Average Class Size</t>
  </si>
  <si>
    <t>Teacher</t>
  </si>
  <si>
    <t>Admin</t>
  </si>
  <si>
    <t>Support</t>
  </si>
  <si>
    <t>Average Class Size Equation</t>
  </si>
  <si>
    <t>1</t>
  </si>
  <si>
    <t>=</t>
  </si>
  <si>
    <t>Total Enrollment</t>
  </si>
  <si>
    <t>2</t>
  </si>
  <si>
    <r>
      <t xml:space="preserve">Total # Teachers Taking </t>
    </r>
    <r>
      <rPr>
        <b/>
        <sz val="11"/>
        <rFont val="Calibri"/>
        <family val="2"/>
        <scheme val="minor"/>
      </rPr>
      <t>DAILY</t>
    </r>
    <r>
      <rPr>
        <sz val="11"/>
        <rFont val="Calibri"/>
        <family val="2"/>
        <scheme val="minor"/>
      </rPr>
      <t xml:space="preserve"> Attendance</t>
    </r>
  </si>
  <si>
    <t>3</t>
  </si>
  <si>
    <t>Average Class Size Calculation</t>
  </si>
  <si>
    <t xml:space="preserve"> Calculation Notes</t>
  </si>
  <si>
    <t>Autopopulated from 'Prep-Enrollment'</t>
  </si>
  <si>
    <r>
      <t xml:space="preserve">Total # Teachers Taking </t>
    </r>
    <r>
      <rPr>
        <b/>
        <u/>
        <sz val="11"/>
        <rFont val="Calibri"/>
        <family val="2"/>
        <scheme val="minor"/>
      </rPr>
      <t>DAILY</t>
    </r>
    <r>
      <rPr>
        <sz val="11"/>
        <rFont val="Calibri"/>
        <family val="2"/>
        <scheme val="minor"/>
      </rPr>
      <t xml:space="preserve"> Attendance</t>
    </r>
  </si>
  <si>
    <t>½ day Kindergarten teachers are considered one (1) teacher for each ½ day session</t>
  </si>
  <si>
    <t>Autocalculated</t>
  </si>
  <si>
    <t>Mandate 1- Pupil Attendance Reporting (PAR)</t>
  </si>
  <si>
    <t>School Calendar</t>
  </si>
  <si>
    <t>CLASSROOM TEACHERS</t>
  </si>
  <si>
    <t>ADMINISTRATORS</t>
  </si>
  <si>
    <t>SUPPORT STAFF</t>
  </si>
  <si>
    <t>NOTES</t>
  </si>
  <si>
    <t>Days</t>
  </si>
  <si>
    <t># days worked in the school year</t>
  </si>
  <si>
    <t>Hours/Day</t>
  </si>
  <si>
    <t># hours worked in a standard day</t>
  </si>
  <si>
    <t>Standard Or Actual/Varied Workday</t>
  </si>
  <si>
    <t>Hourly Rate</t>
  </si>
  <si>
    <t>Item #</t>
  </si>
  <si>
    <t>Total number of staff employed by R&amp;I who participated in Pupil Attendance Reporting</t>
  </si>
  <si>
    <t># Classroom Teachers Autopopulate from 'Prep-Parameter' Cell H8</t>
  </si>
  <si>
    <t>Total hours of work for all assigned tasks performed by employees reported in Item #1</t>
  </si>
  <si>
    <t xml:space="preserve"> </t>
  </si>
  <si>
    <t>Total annual salaries paid for all services performed by employees in Item #1</t>
  </si>
  <si>
    <t>Total annual employee benefits paid on salaries reported in Item #3</t>
  </si>
  <si>
    <t>Total annual salaries and benefits paid for employees reported in Item #1</t>
  </si>
  <si>
    <t>Autocalculate= Sum of Item #3 + Item #4</t>
  </si>
  <si>
    <t>Average Hourly Rate</t>
  </si>
  <si>
    <t>Autocalculate= Item #5 divided by Item #2 (do not round)</t>
  </si>
  <si>
    <t>Calculation of Total PAR Expenditures</t>
  </si>
  <si>
    <t xml:space="preserve">Employee </t>
  </si>
  <si>
    <t># PAR Classroom Teachers</t>
  </si>
  <si>
    <t># PAR Teachers * Parameter</t>
  </si>
  <si>
    <t>PAR Expenditures</t>
  </si>
  <si>
    <t>PAR Supplies &amp; Materials</t>
  </si>
  <si>
    <t>Category</t>
  </si>
  <si>
    <t>(Autopopulate, #1 above)</t>
  </si>
  <si>
    <t>(Autocalculate)</t>
  </si>
  <si>
    <t>(Autopopulate, #6 above) </t>
  </si>
  <si>
    <t>(Autocalculate Total PAR Hours * Hourly Rate) </t>
  </si>
  <si>
    <t>(Autocalculate, $10/teacher) </t>
  </si>
  <si>
    <t>Classroom Teacher</t>
  </si>
  <si>
    <t>Administrative </t>
  </si>
  <si>
    <t>Support Staff </t>
  </si>
  <si>
    <t>Reimbursement Summary, PAR</t>
  </si>
  <si>
    <t>Mandate 1 Reimbursement</t>
  </si>
  <si>
    <t xml:space="preserve">If there is a significant year over year PAR variance, a clear and detailed explanation of the variance must be provided. </t>
  </si>
  <si>
    <t>Exam Name</t>
  </si>
  <si>
    <t># of Exams Claimed</t>
  </si>
  <si>
    <t>Time &amp; Effort Standard</t>
  </si>
  <si>
    <t>If field test performed</t>
  </si>
  <si>
    <t>Minimum # Hours
(if applicable)</t>
  </si>
  <si>
    <t>(Fixed Rate)</t>
  </si>
  <si>
    <t>Enter ".05"</t>
  </si>
  <si>
    <t xml:space="preserve">Grade 3 ELA </t>
  </si>
  <si>
    <t>Grade 3 ELA with field test</t>
  </si>
  <si>
    <t>Grade 3 Math</t>
  </si>
  <si>
    <t>Grade 3 Math with field test</t>
  </si>
  <si>
    <t xml:space="preserve">Grade 4 ELA </t>
  </si>
  <si>
    <t>Were Field Tests Performed?</t>
  </si>
  <si>
    <t>Grade 4 ELA with field test</t>
  </si>
  <si>
    <t>(0=No, 1=Yes, Autopopulate)</t>
  </si>
  <si>
    <t>Grade 4 Math</t>
  </si>
  <si>
    <t>Grade 4 Math with field test</t>
  </si>
  <si>
    <t xml:space="preserve">Grade 5 ELA </t>
  </si>
  <si>
    <t>Grade 5 ELA with field test</t>
  </si>
  <si>
    <t>Grade 5 Math</t>
  </si>
  <si>
    <t>Grade 5 Math with field test</t>
  </si>
  <si>
    <t>Printing Cost Notes:</t>
  </si>
  <si>
    <t xml:space="preserve">Grade 6 ELA </t>
  </si>
  <si>
    <t>Printing Costs are reimbursed at $86/grade level tested (See Cell F40-42)</t>
  </si>
  <si>
    <t>Grade 6 ELA with field test</t>
  </si>
  <si>
    <t>Grade 6 Math</t>
  </si>
  <si>
    <t>Grade 6 Math with field test</t>
  </si>
  <si>
    <t xml:space="preserve">Grade 7 ELA </t>
  </si>
  <si>
    <t>Grade 7 ELA with field test</t>
  </si>
  <si>
    <t>Grade 7 Math</t>
  </si>
  <si>
    <t>Grade 7 Math with field test</t>
  </si>
  <si>
    <t xml:space="preserve">Grade 8 ELA </t>
  </si>
  <si>
    <t>Grade 8 ELA with field test</t>
  </si>
  <si>
    <t>Grade 8 Math</t>
  </si>
  <si>
    <t>Grade 8 Math with field test</t>
  </si>
  <si>
    <t>TEACHERS</t>
  </si>
  <si>
    <t>Total number of staff employed by R&amp;I who participated in English Language Arts &amp; Math</t>
  </si>
  <si>
    <t xml:space="preserve">Total annual salaries and benefits paid for employees reported in Item #1. </t>
  </si>
  <si>
    <t>Calculation of General Expenditures</t>
  </si>
  <si>
    <t>Employee
Category</t>
  </si>
  <si>
    <t>Combined Hours</t>
  </si>
  <si>
    <t>Avg Hourly Rate</t>
  </si>
  <si>
    <t>Combined Hours * Rate</t>
  </si>
  <si>
    <t>Supplies &amp; Shipping Costs</t>
  </si>
  <si>
    <t>Printing Costs</t>
  </si>
  <si>
    <t>(Autopopulate, See Notes ==&gt;)</t>
  </si>
  <si>
    <t>(Autopopulate, Cells C-E36)</t>
  </si>
  <si>
    <t>(Autopopulate, Fixed, Flate Rate)</t>
  </si>
  <si>
    <t>(Autocalculate, $86 * Cell G8)</t>
  </si>
  <si>
    <t>Combined Teacher Hours = Cell G5</t>
  </si>
  <si>
    <t>Calculation of Workshop Expenditures</t>
  </si>
  <si>
    <t>Total # Workshop Hours</t>
  </si>
  <si>
    <t>Workshop Hours * Rate</t>
  </si>
  <si>
    <t>Workshop Fees</t>
  </si>
  <si>
    <t>(Enter Total # Workshop Hours in Cell B46)</t>
  </si>
  <si>
    <t>(Autopopulate, #6 above)</t>
  </si>
  <si>
    <t>(Autopopulate)</t>
  </si>
  <si>
    <t>(Enter Total Amount of Workshop Fees in Cell E46)</t>
  </si>
  <si>
    <t>Documentation will be requested for teacher workshops</t>
  </si>
  <si>
    <t>Reimbursement Summary, EIA</t>
  </si>
  <si>
    <t xml:space="preserve"> General Expenditures Subtotal</t>
  </si>
  <si>
    <t xml:space="preserve"> Workshop Expenditures Subtotal</t>
  </si>
  <si>
    <t>Mandate 2 Reimbursement</t>
  </si>
  <si>
    <t xml:space="preserve">If there is a significant year over year variance, a clear and detailed explanation of the variance must be provided. </t>
  </si>
  <si>
    <t>Mandate 3- Basic Education Data System Reporting (BEDS)</t>
  </si>
  <si>
    <t>Total number of staff employed by R&amp;I who participated in BEDS</t>
  </si>
  <si>
    <t># Reimbursable Hours</t>
  </si>
  <si>
    <t>BEDS Expenditures</t>
  </si>
  <si>
    <t>(Autocalculate, # BEDS Hours * Hourly Rate) </t>
  </si>
  <si>
    <t># hrs = 1 hour per teacher</t>
  </si>
  <si>
    <t>N/A</t>
  </si>
  <si>
    <t># hrs = 4 hours (fixed)</t>
  </si>
  <si>
    <t>Reimbursement Summary, BEDS</t>
  </si>
  <si>
    <t>Mandate 3 Reimbursement</t>
  </si>
  <si>
    <t>Mandate 4- Regents Examinations (RE)</t>
  </si>
  <si>
    <t>Mandate 4- Calculations of Classroom Teacher Combined Hours</t>
  </si>
  <si>
    <t>Combined (Reimbursable) Hours
(# Exams * Time &amp;Effort Standard)</t>
  </si>
  <si>
    <t>Regents Common Core English Language Arts</t>
  </si>
  <si>
    <t>Regents Common Core English Language Arts with field test</t>
  </si>
  <si>
    <t>Regents Common Core Algebra II</t>
  </si>
  <si>
    <t>Regents Common Core Algebra II with field test</t>
  </si>
  <si>
    <t>Regents Common Core Geometry</t>
  </si>
  <si>
    <t>Regents Common Core Geometry with field test</t>
  </si>
  <si>
    <t>Regents Global History &amp; Geography II (Framework)</t>
  </si>
  <si>
    <t>Regents Global History &amp; Geography II (Framework) with field test</t>
  </si>
  <si>
    <t>Regents Physical Setting/Chemistry</t>
  </si>
  <si>
    <t>Regents Physical Setting/Chemistry with field test</t>
  </si>
  <si>
    <t>Regents Physical Setting/Physics</t>
  </si>
  <si>
    <t>Regents Physical Setting/Physics with field test</t>
  </si>
  <si>
    <t>Regents Physical Setting/Earth Science</t>
  </si>
  <si>
    <t>Regents Physical Setting/Earth Science with field test</t>
  </si>
  <si>
    <t>Regents Living Environment</t>
  </si>
  <si>
    <t>Regents Living Environment with field test</t>
  </si>
  <si>
    <t>Were field tests performed?  0=No, 1=Yes (Autopopulate)</t>
  </si>
  <si>
    <t>Total number of staff employed by R&amp;I who participated in Regents</t>
  </si>
  <si>
    <t>Combined hrs = SUM Cells F5 through F26</t>
  </si>
  <si>
    <t>Administrative</t>
  </si>
  <si>
    <t>Combined hrs = 24 hours (fixed)</t>
  </si>
  <si>
    <t>Support Staff</t>
  </si>
  <si>
    <t>Combined hrs = 10 hours (or 11 if field test performed)</t>
  </si>
  <si>
    <t>(Enter Total # Workshop Hours in Cell B43)</t>
  </si>
  <si>
    <t>(Enter Total Amount of Workshop Fees in Cell E44)</t>
  </si>
  <si>
    <t>Calculation of Test Kit Expenditures</t>
  </si>
  <si>
    <t>#</t>
  </si>
  <si>
    <t>Enter # of Students Taking  Regents Earth Science in Cell C47</t>
  </si>
  <si>
    <t>Supplies &amp; Materials are reimbursed in General Expenses</t>
  </si>
  <si>
    <t>Enter # of Test Kits Purchased in Cell C48</t>
  </si>
  <si>
    <t>Reimbursement Summary, RE</t>
  </si>
  <si>
    <t>Workshop Expenditures Subtotal</t>
  </si>
  <si>
    <t xml:space="preserve"> Test Kit Expenditures Subtotal</t>
  </si>
  <si>
    <t>Mandate 4 Reimbursement</t>
  </si>
  <si>
    <t>Mandate 6- Calculator Expense (CE)</t>
  </si>
  <si>
    <t>Calculations</t>
  </si>
  <si>
    <t>Note: Scientific and Graphing calculators ONLY</t>
  </si>
  <si>
    <t>Notes</t>
  </si>
  <si>
    <t>Enter # of scientific calculators purchased in Cell C5</t>
  </si>
  <si>
    <t xml:space="preserve">If claimed, documentation will be requested </t>
  </si>
  <si>
    <t>Scientific calculator Reimbursement Rate</t>
  </si>
  <si>
    <t>Fixed rate of $15/calculator, regardless of purchase price</t>
  </si>
  <si>
    <t>Enter # of graphing calculators purchased in Cell C7</t>
  </si>
  <si>
    <t>Graphing calculator  Reimbursement Rate</t>
  </si>
  <si>
    <t>Fixed rate of $110/calculator, regardless of purchase price</t>
  </si>
  <si>
    <t>Reimbursement Summary, CE</t>
  </si>
  <si>
    <t>Total Scientific Calculator Expenses</t>
  </si>
  <si>
    <t>Total Graphing Calculator Expenses</t>
  </si>
  <si>
    <t>Mandate 6 Reimbursement</t>
  </si>
  <si>
    <t>Mandate 7- Registration of High School (RHS)</t>
  </si>
  <si>
    <r>
      <rPr>
        <sz val="14"/>
        <color rgb="FF000000"/>
        <rFont val="Calibri"/>
        <family val="2"/>
        <scheme val="minor"/>
      </rPr>
      <t xml:space="preserve">Note: This Mandate may be claimed </t>
    </r>
    <r>
      <rPr>
        <u/>
        <sz val="14"/>
        <color rgb="FF000000"/>
        <rFont val="Calibri"/>
        <family val="2"/>
        <scheme val="minor"/>
      </rPr>
      <t>ONCE</t>
    </r>
    <r>
      <rPr>
        <sz val="14"/>
        <color rgb="FF000000"/>
        <rFont val="Calibri"/>
        <family val="2"/>
        <scheme val="minor"/>
      </rPr>
      <t xml:space="preserve"> for Registered High Schools </t>
    </r>
    <r>
      <rPr>
        <u/>
        <sz val="14"/>
        <color rgb="FF000000"/>
        <rFont val="Calibri"/>
        <family val="2"/>
        <scheme val="minor"/>
      </rPr>
      <t>ONLY</t>
    </r>
  </si>
  <si>
    <t>Total number of staff employed by R&amp;I who participated in Registration of High School</t>
  </si>
  <si>
    <t># of  Hours</t>
  </si>
  <si>
    <t># hrs = 18 (fixed)</t>
  </si>
  <si>
    <t># hrs = 1 (fixed)</t>
  </si>
  <si>
    <t>Reimbursement Summary, RHS</t>
  </si>
  <si>
    <t>Mandate 7 Reimbursement</t>
  </si>
  <si>
    <t>Mandate 8- NYS School Immunization Program (SSIP)</t>
  </si>
  <si>
    <t>Note: only applicable to New York City, Rochester, and Buffalo</t>
  </si>
  <si>
    <t>Enter # of non-public school pupils for whom immunization documentation has been maintained</t>
  </si>
  <si>
    <t>Reimbursement Rate (Fixed)</t>
  </si>
  <si>
    <t>Reimbursement Summary, SSIP</t>
  </si>
  <si>
    <t>Mandate 8 Reimbursement</t>
  </si>
  <si>
    <t>Mandate 9- Documentation of Integration of Required Instruction in 7th &amp; 8th Grade (DIRI)</t>
  </si>
  <si>
    <t>Mandate 9- Calculations of 7th &amp; 8th Grade Teacher Combined Hours</t>
  </si>
  <si>
    <t xml:space="preserve"> Enter Total # Teachers Administering DIRI into Cell B5</t>
  </si>
  <si>
    <t>Time &amp; Effort Standard
(Fixed Rate)</t>
  </si>
  <si>
    <t>Reimbursable Hours</t>
  </si>
  <si>
    <t>(# Exams * Time &amp;Effort Standard)</t>
  </si>
  <si>
    <t>DIRI</t>
  </si>
  <si>
    <t>Calculation of Hourly Rate</t>
  </si>
  <si>
    <t>Total number of staff employed by R&amp;I who participated in Documentation of Integration of Required Instruction in 7th &amp; 8th Grade</t>
  </si>
  <si>
    <t>Combined hrs = Cell D5 (Autopopulated)</t>
  </si>
  <si>
    <t>Combined hrs = 1 hour (fixed)</t>
  </si>
  <si>
    <t>Reimbursement Summary, DIRI</t>
  </si>
  <si>
    <t>Mandate 9 Reimbursement</t>
  </si>
  <si>
    <t>Mandate 10- High School Graduation Report (HSGR)</t>
  </si>
  <si>
    <t>Graduation Report must be completed and filed with RIC (see note below)</t>
  </si>
  <si>
    <t># Graduates</t>
  </si>
  <si>
    <t>Enter # graduate candidates in Cell F4    ========================&gt;</t>
  </si>
  <si>
    <t>Total number of staff employed by R&amp;I who participated in High School Graduation Report</t>
  </si>
  <si>
    <t>Supplies &amp; Materials</t>
  </si>
  <si>
    <t># hrs = 1 hour (fixed)</t>
  </si>
  <si>
    <t># hrs = 6 hour (fixed)</t>
  </si>
  <si>
    <t>Reimbursement Summary, HSGR</t>
  </si>
  <si>
    <t>Mandate 10 Reimbursement</t>
  </si>
  <si>
    <t>Mandate 11- Grade Five Science Test (GFST)</t>
  </si>
  <si>
    <t>Mandate 11- Calculations of Classroom Teacher Combined Hours</t>
  </si>
  <si>
    <t># of Exams</t>
  </si>
  <si>
    <t xml:space="preserve">Grade 5 Science </t>
  </si>
  <si>
    <t>Grade 5 Science with Field Test</t>
  </si>
  <si>
    <t>Total number of staff employed by R&amp;I who participated in Grade Five Science Test</t>
  </si>
  <si>
    <t>Combined hrs = 2 hours (fixed)</t>
  </si>
  <si>
    <t>Enter # of Test Kits Purchased</t>
  </si>
  <si>
    <t>Each kit (serves 30 pupils) will be reimbursed at $250/kit</t>
  </si>
  <si>
    <t>Reimbursement Summary, GFST</t>
  </si>
  <si>
    <t>Mandate 11 Reimbursement</t>
  </si>
  <si>
    <t>Mandate 12- Travel Costs to Examination Storage Sites (TSS)</t>
  </si>
  <si>
    <t>Total number of staff employed by R&amp;I who participated in Travel Costs to Examination Storage Sites (TSS)</t>
  </si>
  <si>
    <t>Examination Being Stored at an Alternate Site</t>
  </si>
  <si>
    <t># hrs = 2 hours (fixed)</t>
  </si>
  <si>
    <t># hrs = 16 hours (fixed)</t>
  </si>
  <si>
    <t>Reimbursement Summary, TSS</t>
  </si>
  <si>
    <t>Mandate 12 Reimbursement</t>
  </si>
  <si>
    <t>Mandate 13- NYS Scholarships for Academic Excellence Application (SAE)</t>
  </si>
  <si>
    <t>Total number of staff employed by R&amp;I who participated in NYS Scholarships for Academic Excellence Application</t>
  </si>
  <si>
    <t xml:space="preserve">(Autopopulate, See Notes ==&gt;) </t>
  </si>
  <si>
    <t># Reimbursable hrs = 37 hrs (fixed)</t>
  </si>
  <si>
    <t># Reimbursable hrs = 3 hrs (fixed)</t>
  </si>
  <si>
    <t>Reimbursement Summary, SAE</t>
  </si>
  <si>
    <t>Mandate 13 Reimbursement</t>
  </si>
  <si>
    <t>Mandate 14- Grade Eight Science Test (GEST)</t>
  </si>
  <si>
    <t>Mandate 14- Calculations of Classroom Teacher Combined Hours</t>
  </si>
  <si>
    <t>Grade 8 Science</t>
  </si>
  <si>
    <t>Grade 8 Science with Field Test</t>
  </si>
  <si>
    <t>Total number of staff employed by R&amp;I who participated in Grade Eight Science Test</t>
  </si>
  <si>
    <t>Combined hrs = 2 hours (Autopopulated, Fixed)</t>
  </si>
  <si>
    <t>Enter # of Students Taking  Grade Eight Science Test</t>
  </si>
  <si>
    <t>Reimbursement Summary, GEST</t>
  </si>
  <si>
    <t>Mandate 14 Reimbursement</t>
  </si>
  <si>
    <t>Mandate 17- Pesticide Neighbor Notification (PNN)</t>
  </si>
  <si>
    <t>General Expenditures</t>
  </si>
  <si>
    <t>If your school notified parents and interested parties prior to pesticide applications as required by the Pesticide Neighbor Notification Law at least once during the school year, enter "$100" in this cell ====================&gt;
If you did not, leave "0" (will appear as $ -)</t>
  </si>
  <si>
    <t>Reimbursement Summary, PNN</t>
  </si>
  <si>
    <t>Mandate 17 Reimbursement</t>
  </si>
  <si>
    <t>Mandate 18- NYSESLAT or NYSITELL</t>
  </si>
  <si>
    <t>Mandate 18 Calculations</t>
  </si>
  <si>
    <t xml:space="preserve">NYSESLAT </t>
  </si>
  <si>
    <t>NYSITELL</t>
  </si>
  <si>
    <t>Total number of staff employed by R&amp;I who participated in NYSESLAT or NYSITELL</t>
  </si>
  <si>
    <t>Combined hrs = Cell D5 + D6 (Autopopulated)</t>
  </si>
  <si>
    <t>(Enter Total # Workshop Hours in Cell B24)</t>
  </si>
  <si>
    <t>(Enter Total Amount of Workshop Fees in Cell E24)</t>
  </si>
  <si>
    <t>Reimbursement Summary, NYSESLAT or NYSITELL</t>
  </si>
  <si>
    <t>Mandate 18 Reimbursement</t>
  </si>
  <si>
    <t>Mandate 19- RIC and Scoring Center Expenditures (RIC)</t>
  </si>
  <si>
    <t>Calculations for General Expenditures</t>
  </si>
  <si>
    <t>Enter Data Below</t>
  </si>
  <si>
    <t>Enter # of exams scanned by RIC</t>
  </si>
  <si>
    <t>RIC Expenditures for State Testing and HSGR</t>
  </si>
  <si>
    <t>Enter amount from RIC reciept.  Documentation may be requested.</t>
  </si>
  <si>
    <t>Enter # of exams scored by a Scoring Center</t>
  </si>
  <si>
    <t>Enter Expenditures- Scoring Center</t>
  </si>
  <si>
    <t>Enter amount from Scoring Center receipt.  Documentation may be requested.</t>
  </si>
  <si>
    <t>Reimbursement Summary, RIC</t>
  </si>
  <si>
    <t>Mandate 19 Reimbursement</t>
  </si>
  <si>
    <t>Comprehensive Attendance Policy (CAP)</t>
  </si>
  <si>
    <t>Enrollments</t>
  </si>
  <si>
    <t>K-6 Grade</t>
  </si>
  <si>
    <t>7 - 12 Grade</t>
  </si>
  <si>
    <t>Total # Pupils</t>
  </si>
  <si>
    <t>Autopopulate from 'Prep-Enrollment'</t>
  </si>
  <si>
    <t>Autopopulate from 'Mandate 1'</t>
  </si>
  <si>
    <t>Calculation of Total CAP Expenditures</t>
  </si>
  <si>
    <t>Per Pupil K-6 CAP Parameter</t>
  </si>
  <si>
    <t>Per Pupil 7-12 CAP Parameter</t>
  </si>
  <si>
    <t>(Fixed)</t>
  </si>
  <si>
    <t>Reimbursement Summary, CAP</t>
  </si>
  <si>
    <t>Total CAP Reimbursement</t>
  </si>
  <si>
    <t>Summary of Expenditures</t>
  </si>
  <si>
    <t>School Year 2023-2024 MSA-CAP Reimbursement</t>
  </si>
  <si>
    <t>Mandate</t>
  </si>
  <si>
    <t>Name of Expenditure</t>
  </si>
  <si>
    <t>Categorical Expense</t>
  </si>
  <si>
    <t>Mandate Expense</t>
  </si>
  <si>
    <t>PAR- Standard Workday</t>
  </si>
  <si>
    <t>EIA</t>
  </si>
  <si>
    <t>2A</t>
  </si>
  <si>
    <t>2B</t>
  </si>
  <si>
    <t>Teacher Workshop Expenditures</t>
  </si>
  <si>
    <t>RE</t>
  </si>
  <si>
    <t>4A</t>
  </si>
  <si>
    <t>4B</t>
  </si>
  <si>
    <t>4C</t>
  </si>
  <si>
    <t>Test Kits</t>
  </si>
  <si>
    <t>RTC</t>
  </si>
  <si>
    <t>Inactive Mandate</t>
  </si>
  <si>
    <t>CE</t>
  </si>
  <si>
    <t>RHS</t>
  </si>
  <si>
    <t>SSIP</t>
  </si>
  <si>
    <t>HSGR</t>
  </si>
  <si>
    <t>GFST</t>
  </si>
  <si>
    <t>11A</t>
  </si>
  <si>
    <t>11B</t>
  </si>
  <si>
    <t>11C</t>
  </si>
  <si>
    <t>SST</t>
  </si>
  <si>
    <t>SAE</t>
  </si>
  <si>
    <t>GEST</t>
  </si>
  <si>
    <t>14A</t>
  </si>
  <si>
    <t>14B</t>
  </si>
  <si>
    <t>14C</t>
  </si>
  <si>
    <t>GESST</t>
  </si>
  <si>
    <t>GFSST</t>
  </si>
  <si>
    <t>PNN</t>
  </si>
  <si>
    <t>NYSELAT/NYSITELL</t>
  </si>
  <si>
    <t>18A</t>
  </si>
  <si>
    <t>18B</t>
  </si>
  <si>
    <t>RIC &amp; Scoring Center Costs</t>
  </si>
  <si>
    <t>2023-2024 MSA-CAP Reimbursement</t>
  </si>
  <si>
    <t>Select Total # Grade Levels Tested, Cell G8</t>
  </si>
  <si>
    <t>(Maximum of 6 Grade Levels)</t>
  </si>
  <si>
    <t xml:space="preserve"> Select "Standard" or "Actual/Varied" in Cell F7   ========================&gt;</t>
  </si>
  <si>
    <t>Algebra</t>
  </si>
  <si>
    <t>Algebra with field test</t>
  </si>
  <si>
    <t>Regents Common Core Algebra</t>
  </si>
  <si>
    <t>Regents Common Core Algebra with field test</t>
  </si>
  <si>
    <t>Regents US History and Government (Framework)</t>
  </si>
  <si>
    <t>Regents US History and Government (Framework) with field test</t>
  </si>
  <si>
    <t>6A</t>
  </si>
  <si>
    <t>6B</t>
  </si>
  <si>
    <t>Scientific Calculator Expenditures</t>
  </si>
  <si>
    <t>Graphing Calculator Expenditures</t>
  </si>
  <si>
    <t>Reimbursement calculated (Cell F53) at $250 per kit</t>
  </si>
  <si>
    <t># Classroom Teachers</t>
  </si>
  <si>
    <t>(Autopopulate, Cell C4)</t>
  </si>
  <si>
    <t>(Autopopulate, See #6 above) </t>
  </si>
  <si>
    <t>No printing costs are reimbursed in Cell F40 (below) if tests are graded by a Scoring Center</t>
  </si>
  <si>
    <t>K-6 Enrollment * Parameter</t>
  </si>
  <si>
    <t>7-12 Enrollment * Parameter</t>
  </si>
  <si>
    <t>K-6 Expenditures</t>
  </si>
  <si>
    <t>(Autocalculate, See Notes ===&gt;)</t>
  </si>
  <si>
    <t>7-12 Expenditures</t>
  </si>
  <si>
    <t>Cell C11*B7</t>
  </si>
  <si>
    <t>Cell C12*C7</t>
  </si>
  <si>
    <t>Cell C13*D7</t>
  </si>
  <si>
    <t>Cell C17*B7</t>
  </si>
  <si>
    <t>Cell C18*C7</t>
  </si>
  <si>
    <t>Cell C19*D7</t>
  </si>
  <si>
    <t>(Column D Calculation Notes)</t>
  </si>
  <si>
    <t>(Enter Total Amount of Workshop Fees in Cell E25)</t>
  </si>
  <si>
    <t>MSA Reimbursement</t>
  </si>
  <si>
    <t>CAP Reimbursement</t>
  </si>
  <si>
    <t>Autocalculate= Item #5 divided by Item #2</t>
  </si>
  <si>
    <t>(Enter # Exams Administered in Colum B)</t>
  </si>
  <si>
    <t>Calculation of Classroom Teacher Effort/Time</t>
  </si>
  <si>
    <t>Reimbursable Hours- Per Exam</t>
  </si>
  <si>
    <t>(Autoreplace Col. D If Applicable)</t>
  </si>
  <si>
    <t>Minimum # Hours</t>
  </si>
  <si>
    <t>Minimum # Reimbursable Hours</t>
  </si>
  <si>
    <t>Total/Combined Classroom Teacher Reimbursable Hours</t>
  </si>
  <si>
    <t>(Autocalculate,  SUM Column D)</t>
  </si>
  <si>
    <t>Did You Use A Scoring Center? (Select Yes/No From Drop Down in Cell F/G15)</t>
  </si>
  <si>
    <t>(Autocalculate, Col.B*Col.C)</t>
  </si>
  <si>
    <t># Hours * Rate</t>
  </si>
  <si>
    <t>(7th &amp; 8th Grade ONLY)</t>
  </si>
  <si>
    <t>(Autocalculate, Col.B *Col.C)</t>
  </si>
  <si>
    <t>Supplies &amp; Shipping To/From Scoring Site</t>
  </si>
  <si>
    <t>(Autocalculate, Flat, Fixed)</t>
  </si>
  <si>
    <t>(Enter Total # Workshop Hours in Cell B25)</t>
  </si>
  <si>
    <t>(if applicable)</t>
  </si>
  <si>
    <t>(Autopopulate, Fixed)</t>
  </si>
  <si>
    <t>(See #6 above)</t>
  </si>
  <si>
    <t>May</t>
  </si>
  <si>
    <t>Month==&gt;</t>
  </si>
  <si>
    <t>Exam Name==&gt;</t>
  </si>
  <si>
    <t>June</t>
  </si>
  <si>
    <t>NYSESLAT</t>
  </si>
  <si>
    <t>April</t>
  </si>
  <si>
    <t>Jan/June</t>
  </si>
  <si>
    <t>Regents</t>
  </si>
  <si>
    <t>Aug</t>
  </si>
  <si>
    <t>Jan</t>
  </si>
  <si>
    <t>May Grade Five Science Test (May)</t>
  </si>
  <si>
    <t>Grade Eight Science Test (Performance- May)</t>
  </si>
  <si>
    <t>Grade Eight Science Test (Written-June)</t>
  </si>
  <si>
    <t>NYSESLAT (April)</t>
  </si>
  <si>
    <t>NYSITELL (April)</t>
  </si>
  <si>
    <t>EIA (Jan/ June)</t>
  </si>
  <si>
    <t>Regents (August)</t>
  </si>
  <si>
    <t>Regents (January)</t>
  </si>
  <si>
    <t>Regents (June)</t>
  </si>
  <si>
    <t xml:space="preserve"> Field tests performed?</t>
  </si>
  <si>
    <t># hrs = 8 (or 10 hours if field test performed)</t>
  </si>
  <si>
    <t># hrs = 20 (or 22 hours if field test performed)</t>
  </si>
  <si>
    <t xml:space="preserve">If there is a significant year over year BEDS variance, a clear and detailed explanation of the variance must be provided. </t>
  </si>
  <si>
    <t xml:space="preserve">If there is a significant year over year CAP variance, a clear and detailed explanation of the variance must be provided. </t>
  </si>
  <si>
    <t>Graduation Report Note:</t>
  </si>
  <si>
    <t>Graduation Report for Nonpublic Schools (HSGR) is for grade 12 only.
Reporting must be completed and filed with your local RIC Center by the required deadline. 
Information about reporting is available on the Information Reporting Services website at: www.nysed.gov/information-reporting-services *</t>
  </si>
  <si>
    <t>(Enter # Exams Administered in Col. B)</t>
  </si>
  <si>
    <t>(Autocalculate, Col. B*Col. C)</t>
  </si>
  <si>
    <t>Mandate 2- Elementary &amp; Intermediate Assessment in English Language Arts &amp; Math (EIA)</t>
  </si>
  <si>
    <t>Enter Time &amp; Effort Parameters, C19 to C21</t>
  </si>
  <si>
    <t>(Corrisponding Parameters found on 'Prep-Parameter' tab)</t>
  </si>
  <si>
    <t>Admin hrs = 4.25hrs/grade tested (+1hr if field test performed)</t>
  </si>
  <si>
    <t>Support hrs = 5hrs/grade tested (+1hr if field test performed)</t>
  </si>
  <si>
    <t>Enter # of Students Taking  Grade Five Science Tests</t>
  </si>
  <si>
    <t>(Autopopulate, Fixed, Flate $145 Rate)</t>
  </si>
  <si>
    <t xml:space="preserve"> (Fixed, Flat, $185)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</si>
</sst>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_);[Red]\(&quot;$&quot;#,##0\)"/>
    <numFmt numFmtId="44" formatCode="_(&quot;$&quot;* #,##0.00_);_(&quot;$&quot;* \(#,##0.00\);_(&quot;$&quot;* &quot;-&quot;??_);_(@_)"/>
    <numFmt numFmtId="164" formatCode="_(&quot;$&quot;* #,##0_);_(&quot;$&quot;* \(#,##0\);_(&quot;$&quot;* &quot;-&quot;??_);_(@_)"/>
    <numFmt numFmtId="165" formatCode="0.0"/>
  </numFmts>
  <fonts count="30"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i/>
      <sz val="11"/>
      <color theme="1"/>
      <name val="Calibri"/>
      <family val="2"/>
      <scheme val="minor"/>
    </font>
    <font>
      <b/>
      <sz val="12"/>
      <color theme="0"/>
      <name val="Calibri"/>
      <family val="2"/>
      <scheme val="minor"/>
    </font>
    <font>
      <sz val="11"/>
      <name val="Calibri"/>
      <family val="2"/>
      <scheme val="minor"/>
    </font>
    <font>
      <sz val="16"/>
      <color theme="0"/>
      <name val="Calibri"/>
      <family val="2"/>
      <scheme val="minor"/>
    </font>
    <font>
      <sz val="22"/>
      <color theme="0"/>
      <name val="Calibri"/>
      <family val="2"/>
      <scheme val="minor"/>
    </font>
    <font>
      <b/>
      <sz val="11"/>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b/>
      <u/>
      <sz val="11"/>
      <name val="Calibri"/>
      <family val="2"/>
      <scheme val="minor"/>
    </font>
    <font>
      <b/>
      <sz val="14"/>
      <color theme="0"/>
      <name val="Calibri"/>
      <family val="2"/>
      <scheme val="minor"/>
    </font>
    <font>
      <sz val="14"/>
      <color theme="1"/>
      <name val="Calibri"/>
      <family val="2"/>
      <scheme val="minor"/>
    </font>
    <font>
      <sz val="16"/>
      <color theme="1"/>
      <name val="Calibri"/>
      <family val="2"/>
      <scheme val="minor"/>
    </font>
    <font>
      <sz val="11"/>
      <color rgb="FF000000"/>
      <name val="Calibri"/>
      <scheme val="minor"/>
    </font>
    <font>
      <sz val="11"/>
      <color rgb="FF000000"/>
      <name val="Calibri"/>
      <family val="2"/>
      <scheme val="minor"/>
    </font>
    <font>
      <b/>
      <sz val="11"/>
      <color rgb="FF000000"/>
      <name val="Calibri"/>
      <family val="2"/>
      <scheme val="minor"/>
    </font>
    <font>
      <sz val="14"/>
      <name val="Calibri"/>
      <family val="2"/>
      <scheme val="minor"/>
    </font>
    <font>
      <u/>
      <sz val="11"/>
      <color theme="1"/>
      <name val="Calibri"/>
      <family val="2"/>
      <scheme val="minor"/>
    </font>
    <font>
      <u/>
      <sz val="11"/>
      <color rgb="FF000000"/>
      <name val="Calibri"/>
      <family val="2"/>
      <scheme val="minor"/>
    </font>
    <font>
      <b/>
      <sz val="11"/>
      <color rgb="FF000000"/>
      <name val="Calibri"/>
      <scheme val="minor"/>
    </font>
    <font>
      <sz val="14"/>
      <color rgb="FF000000"/>
      <name val="Calibri"/>
      <family val="2"/>
      <scheme val="minor"/>
    </font>
    <font>
      <u/>
      <sz val="14"/>
      <color rgb="FF000000"/>
      <name val="Calibri"/>
      <family val="2"/>
      <scheme val="minor"/>
    </font>
    <font>
      <u/>
      <sz val="11"/>
      <color theme="10"/>
      <name val="Calibri"/>
      <family val="2"/>
      <scheme val="minor"/>
    </font>
    <font>
      <sz val="11"/>
      <color rgb="FF000000"/>
      <name val="Calibri"/>
    </font>
    <font>
      <b/>
      <u/>
      <sz val="11"/>
      <color rgb="FF000000"/>
      <name val="Calibri"/>
    </font>
    <font>
      <sz val="11"/>
      <color rgb="FF9C5700"/>
      <name val="Calibri"/>
      <family val="2"/>
    </font>
  </fonts>
  <fills count="20">
    <fill>
      <patternFill patternType="none"/>
    </fill>
    <fill>
      <patternFill patternType="gray125"/>
    </fill>
    <fill>
      <patternFill patternType="solid">
        <fgColor theme="4"/>
        <bgColor indexed="64"/>
      </patternFill>
    </fill>
    <fill>
      <patternFill patternType="solid">
        <fgColor theme="4" tint="0.79998168889431442"/>
        <bgColor indexed="64"/>
      </patternFill>
    </fill>
    <fill>
      <patternFill patternType="solid">
        <fgColor theme="3" tint="-0.249977111117893"/>
        <bgColor indexed="64"/>
      </patternFill>
    </fill>
    <fill>
      <patternFill patternType="solid">
        <fgColor theme="5" tint="-0.249977111117893"/>
        <bgColor indexed="64"/>
      </patternFill>
    </fill>
    <fill>
      <patternFill patternType="solid">
        <fgColor theme="0"/>
        <bgColor indexed="64"/>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theme="5" tint="0.59999389629810485"/>
        <bgColor indexed="65"/>
      </patternFill>
    </fill>
    <fill>
      <patternFill patternType="solid">
        <fgColor theme="9" tint="0.39997558519241921"/>
        <bgColor indexed="65"/>
      </patternFill>
    </fill>
    <fill>
      <patternFill patternType="solid">
        <fgColor theme="5" tint="0.39997558519241921"/>
        <bgColor indexed="65"/>
      </patternFill>
    </fill>
    <fill>
      <patternFill patternType="solid">
        <fgColor theme="2" tint="-9.9978637043366805E-2"/>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0"/>
        <bgColor theme="4" tint="0.79998168889431442"/>
      </patternFill>
    </fill>
    <fill>
      <patternFill patternType="solid">
        <fgColor theme="3" tint="0.79998168889431442"/>
        <bgColor indexed="64"/>
      </patternFill>
    </fill>
    <fill>
      <patternFill patternType="solid">
        <fgColor rgb="FFFFEB9C"/>
        <bgColor rgb="FF000000"/>
      </patternFill>
    </fill>
  </fills>
  <borders count="33">
    <border>
      <left/>
      <right/>
      <top/>
      <bottom/>
      <diagonal/>
    </border>
    <border>
      <left style="medium">
        <color rgb="FFFF0000"/>
      </left>
      <right style="medium">
        <color rgb="FFFF0000"/>
      </right>
      <top style="medium">
        <color rgb="FFFF0000"/>
      </top>
      <bottom style="medium">
        <color rgb="FFFF0000"/>
      </bottom>
      <diagonal/>
    </border>
    <border>
      <left style="thin">
        <color theme="3"/>
      </left>
      <right style="thin">
        <color theme="3"/>
      </right>
      <top style="thin">
        <color theme="3"/>
      </top>
      <bottom style="thin">
        <color theme="3"/>
      </bottom>
      <diagonal/>
    </border>
    <border>
      <left style="thin">
        <color theme="3"/>
      </left>
      <right style="thin">
        <color theme="3"/>
      </right>
      <top style="thin">
        <color theme="3"/>
      </top>
      <bottom/>
      <diagonal/>
    </border>
    <border>
      <left style="thin">
        <color theme="3"/>
      </left>
      <right style="thin">
        <color theme="3"/>
      </right>
      <top/>
      <bottom style="thin">
        <color theme="3"/>
      </bottom>
      <diagonal/>
    </border>
    <border>
      <left style="thin">
        <color theme="3"/>
      </left>
      <right/>
      <top/>
      <bottom/>
      <diagonal/>
    </border>
    <border>
      <left style="thin">
        <color theme="3"/>
      </left>
      <right/>
      <top style="thin">
        <color theme="3"/>
      </top>
      <bottom style="thin">
        <color theme="3"/>
      </bottom>
      <diagonal/>
    </border>
    <border>
      <left/>
      <right style="thin">
        <color theme="3"/>
      </right>
      <top style="thin">
        <color theme="3"/>
      </top>
      <bottom style="thin">
        <color theme="3"/>
      </bottom>
      <diagonal/>
    </border>
    <border>
      <left style="thin">
        <color theme="3"/>
      </left>
      <right/>
      <top/>
      <bottom style="thin">
        <color theme="3"/>
      </bottom>
      <diagonal/>
    </border>
    <border>
      <left/>
      <right style="thin">
        <color theme="3"/>
      </right>
      <top/>
      <bottom style="thin">
        <color theme="3"/>
      </bottom>
      <diagonal/>
    </border>
    <border>
      <left style="thin">
        <color theme="3"/>
      </left>
      <right style="thin">
        <color theme="3"/>
      </right>
      <top/>
      <bottom/>
      <diagonal/>
    </border>
    <border>
      <left style="thin">
        <color theme="3"/>
      </left>
      <right/>
      <top style="thin">
        <color theme="3"/>
      </top>
      <bottom/>
      <diagonal/>
    </border>
    <border>
      <left/>
      <right style="thin">
        <color theme="3"/>
      </right>
      <top style="thin">
        <color theme="3"/>
      </top>
      <bottom/>
      <diagonal/>
    </border>
    <border>
      <left/>
      <right/>
      <top style="thin">
        <color theme="3"/>
      </top>
      <bottom/>
      <diagonal/>
    </border>
    <border>
      <left/>
      <right style="thin">
        <color theme="3"/>
      </right>
      <top/>
      <bottom/>
      <diagonal/>
    </border>
    <border>
      <left/>
      <right style="medium">
        <color rgb="FFFF0000"/>
      </right>
      <top/>
      <bottom/>
      <diagonal/>
    </border>
    <border>
      <left/>
      <right style="thin">
        <color theme="4" tint="0.39997558519241921"/>
      </right>
      <top style="thin">
        <color theme="4" tint="0.39997558519241921"/>
      </top>
      <bottom style="thin">
        <color theme="4" tint="0.39997558519241921"/>
      </bottom>
      <diagonal/>
    </border>
    <border>
      <left style="medium">
        <color rgb="FFFF0000"/>
      </left>
      <right/>
      <top/>
      <bottom/>
      <diagonal/>
    </border>
    <border>
      <left style="thin">
        <color theme="4" tint="0.39997558519241921"/>
      </left>
      <right/>
      <top style="thin">
        <color theme="4" tint="0.39997558519241921"/>
      </top>
      <bottom/>
      <diagonal/>
    </border>
    <border>
      <left/>
      <right style="thin">
        <color theme="4" tint="0.39997558519241921"/>
      </right>
      <top style="thin">
        <color theme="4" tint="0.39997558519241921"/>
      </top>
      <bottom/>
      <diagonal/>
    </border>
    <border>
      <left style="thin">
        <color rgb="FF44546A"/>
      </left>
      <right style="thin">
        <color rgb="FF44546A"/>
      </right>
      <top style="thin">
        <color rgb="FF44546A"/>
      </top>
      <bottom style="thin">
        <color rgb="FF44546A"/>
      </bottom>
      <diagonal/>
    </border>
    <border>
      <left/>
      <right style="thin">
        <color rgb="FF44546A"/>
      </right>
      <top style="thin">
        <color rgb="FF44546A"/>
      </top>
      <bottom style="thin">
        <color rgb="FF44546A"/>
      </bottom>
      <diagonal/>
    </border>
    <border>
      <left style="thin">
        <color rgb="FF44546A"/>
      </left>
      <right style="thin">
        <color rgb="FF44546A"/>
      </right>
      <top/>
      <bottom style="thin">
        <color rgb="FF44546A"/>
      </bottom>
      <diagonal/>
    </border>
    <border>
      <left/>
      <right style="thin">
        <color rgb="FF44546A"/>
      </right>
      <top/>
      <bottom style="thin">
        <color rgb="FF44546A"/>
      </bottom>
      <diagonal/>
    </border>
    <border>
      <left/>
      <right/>
      <top/>
      <bottom style="thin">
        <color theme="3"/>
      </bottom>
      <diagonal/>
    </border>
    <border>
      <left style="thin">
        <color theme="3"/>
      </left>
      <right style="thin">
        <color theme="3"/>
      </right>
      <top style="thin">
        <color theme="3"/>
      </top>
      <bottom style="thin">
        <color indexed="64"/>
      </bottom>
      <diagonal/>
    </border>
    <border>
      <left style="thin">
        <color theme="3"/>
      </left>
      <right style="thin">
        <color theme="3"/>
      </right>
      <top/>
      <bottom style="thin">
        <color indexed="64"/>
      </bottom>
      <diagonal/>
    </border>
    <border>
      <left style="medium">
        <color rgb="FFFF0000"/>
      </left>
      <right style="medium">
        <color rgb="FFFF0000"/>
      </right>
      <top style="medium">
        <color rgb="FFFF0000"/>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rgb="FFFF0000"/>
      </left>
      <right style="medium">
        <color indexed="64"/>
      </right>
      <top style="medium">
        <color indexed="64"/>
      </top>
      <bottom style="medium">
        <color indexed="64"/>
      </bottom>
      <diagonal/>
    </border>
    <border>
      <left/>
      <right style="thin">
        <color indexed="64"/>
      </right>
      <top/>
      <bottom/>
      <diagonal/>
    </border>
    <border>
      <left style="thin">
        <color indexed="64"/>
      </left>
      <right/>
      <top/>
      <bottom/>
      <diagonal/>
    </border>
  </borders>
  <cellStyleXfs count="8">
    <xf numFmtId="0" fontId="0" fillId="0" borderId="0"/>
    <xf numFmtId="0" fontId="10" fillId="8" borderId="0" applyNumberFormat="0" applyBorder="0" applyAlignment="0" applyProtection="0"/>
    <xf numFmtId="0" fontId="11" fillId="9" borderId="0" applyNumberFormat="0" applyBorder="0" applyAlignment="0" applyProtection="0"/>
    <xf numFmtId="0" fontId="12"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26" fillId="0" borderId="0" applyNumberFormat="0" applyFill="0" applyBorder="0" applyAlignment="0" applyProtection="0"/>
  </cellStyleXfs>
  <cellXfs count="312">
    <xf numFmtId="0" fontId="0" fillId="0" borderId="0" xfId="0"/>
    <xf numFmtId="0" fontId="2" fillId="2" borderId="0" xfId="0" applyFont="1" applyFill="1" applyAlignment="1">
      <alignment horizontal="center"/>
    </xf>
    <xf numFmtId="49" fontId="0" fillId="0" borderId="0" xfId="0" applyNumberFormat="1" applyAlignment="1">
      <alignment horizontal="center"/>
    </xf>
    <xf numFmtId="0" fontId="0" fillId="0" borderId="0" xfId="0" applyAlignment="1">
      <alignment horizontal="center"/>
    </xf>
    <xf numFmtId="0" fontId="3" fillId="3" borderId="0" xfId="0" applyFont="1" applyFill="1"/>
    <xf numFmtId="0" fontId="0" fillId="3" borderId="0" xfId="0" applyFill="1" applyAlignment="1">
      <alignment horizontal="left"/>
    </xf>
    <xf numFmtId="0" fontId="2" fillId="2" borderId="0" xfId="0" applyFont="1" applyFill="1"/>
    <xf numFmtId="0" fontId="0" fillId="2" borderId="0" xfId="0" applyFill="1"/>
    <xf numFmtId="0" fontId="0" fillId="3" borderId="0" xfId="0" applyFill="1"/>
    <xf numFmtId="0" fontId="3" fillId="6" borderId="0" xfId="0" applyFont="1" applyFill="1"/>
    <xf numFmtId="0" fontId="0" fillId="6" borderId="0" xfId="0" applyFill="1" applyAlignment="1">
      <alignment horizontal="left"/>
    </xf>
    <xf numFmtId="0" fontId="0" fillId="3" borderId="0" xfId="0" applyFill="1" applyAlignment="1">
      <alignment horizontal="center" vertical="center"/>
    </xf>
    <xf numFmtId="0" fontId="0" fillId="6" borderId="0" xfId="0" applyFill="1" applyAlignment="1">
      <alignment horizontal="center" vertical="center"/>
    </xf>
    <xf numFmtId="0" fontId="4" fillId="6" borderId="0" xfId="0" applyFont="1" applyFill="1" applyAlignment="1">
      <alignment horizontal="right"/>
    </xf>
    <xf numFmtId="0" fontId="4" fillId="3" borderId="0" xfId="0" applyFont="1" applyFill="1" applyAlignment="1">
      <alignment horizontal="right"/>
    </xf>
    <xf numFmtId="0" fontId="0" fillId="6" borderId="0" xfId="0" applyFill="1"/>
    <xf numFmtId="0" fontId="3" fillId="3" borderId="0" xfId="0" applyFont="1" applyFill="1" applyAlignment="1">
      <alignment horizontal="center"/>
    </xf>
    <xf numFmtId="0" fontId="3" fillId="6" borderId="0" xfId="0" applyFont="1" applyFill="1" applyAlignment="1">
      <alignment horizontal="center"/>
    </xf>
    <xf numFmtId="0" fontId="6" fillId="3" borderId="0" xfId="0" applyFont="1" applyFill="1" applyAlignment="1">
      <alignment horizontal="center"/>
    </xf>
    <xf numFmtId="0" fontId="5" fillId="2" borderId="0" xfId="0" applyFont="1" applyFill="1" applyAlignment="1">
      <alignment horizontal="center"/>
    </xf>
    <xf numFmtId="0" fontId="0" fillId="6" borderId="0" xfId="0" applyFill="1" applyAlignment="1">
      <alignment horizontal="left" vertical="center" wrapText="1"/>
    </xf>
    <xf numFmtId="0" fontId="0" fillId="3" borderId="0" xfId="0" applyFill="1" applyAlignment="1">
      <alignment wrapText="1"/>
    </xf>
    <xf numFmtId="0" fontId="0" fillId="3" borderId="0" xfId="0" applyFill="1" applyAlignment="1">
      <alignment vertical="center" wrapText="1"/>
    </xf>
    <xf numFmtId="0" fontId="0" fillId="6" borderId="0" xfId="0" applyFill="1" applyAlignment="1">
      <alignment wrapText="1"/>
    </xf>
    <xf numFmtId="0" fontId="6" fillId="3" borderId="0" xfId="0" applyFont="1" applyFill="1"/>
    <xf numFmtId="0" fontId="0" fillId="6" borderId="0" xfId="0" applyFill="1" applyAlignment="1">
      <alignment horizontal="center"/>
    </xf>
    <xf numFmtId="0" fontId="0" fillId="3" borderId="0" xfId="0" applyFill="1" applyAlignment="1">
      <alignment horizontal="center"/>
    </xf>
    <xf numFmtId="0" fontId="2" fillId="2" borderId="0" xfId="0" applyFont="1" applyFill="1" applyAlignment="1">
      <alignment horizontal="center" vertical="center" wrapText="1"/>
    </xf>
    <xf numFmtId="0" fontId="0" fillId="0" borderId="0" xfId="0" applyAlignment="1">
      <alignment horizontal="center" vertical="center" wrapText="1"/>
    </xf>
    <xf numFmtId="0" fontId="2" fillId="2" borderId="0" xfId="0" applyFont="1" applyFill="1" applyAlignment="1">
      <alignment horizontal="center" vertical="center"/>
    </xf>
    <xf numFmtId="0" fontId="6" fillId="6" borderId="0" xfId="0" applyFont="1" applyFill="1" applyAlignment="1">
      <alignment horizontal="center" vertical="center"/>
    </xf>
    <xf numFmtId="0" fontId="6" fillId="3" borderId="0" xfId="0" applyFont="1" applyFill="1" applyAlignment="1">
      <alignment horizontal="left"/>
    </xf>
    <xf numFmtId="0" fontId="0" fillId="0" borderId="0" xfId="0" applyAlignment="1">
      <alignment horizontal="left" vertical="center" wrapText="1"/>
    </xf>
    <xf numFmtId="0" fontId="7" fillId="5" borderId="0" xfId="0" applyFont="1" applyFill="1"/>
    <xf numFmtId="0" fontId="0" fillId="0" borderId="0" xfId="0" applyAlignment="1">
      <alignment horizontal="left" vertical="center"/>
    </xf>
    <xf numFmtId="0" fontId="0" fillId="3" borderId="0" xfId="0" applyFill="1" applyAlignment="1">
      <alignment horizontal="center" vertical="center" wrapText="1"/>
    </xf>
    <xf numFmtId="0" fontId="0" fillId="6" borderId="0" xfId="0" applyFill="1" applyAlignment="1">
      <alignment horizontal="center" vertical="center" wrapText="1"/>
    </xf>
    <xf numFmtId="44" fontId="1" fillId="12" borderId="1" xfId="5" applyNumberFormat="1" applyBorder="1" applyAlignment="1"/>
    <xf numFmtId="0" fontId="2" fillId="2" borderId="0" xfId="0" quotePrefix="1" applyFont="1" applyFill="1" applyAlignment="1">
      <alignment horizontal="center" vertical="center"/>
    </xf>
    <xf numFmtId="164" fontId="15" fillId="12" borderId="1" xfId="5" applyNumberFormat="1" applyFont="1" applyBorder="1"/>
    <xf numFmtId="44" fontId="15" fillId="12" borderId="1" xfId="5" applyNumberFormat="1" applyFont="1" applyBorder="1" applyAlignment="1"/>
    <xf numFmtId="44" fontId="15" fillId="12" borderId="1" xfId="5" applyNumberFormat="1" applyFont="1" applyBorder="1"/>
    <xf numFmtId="0" fontId="2" fillId="2" borderId="0" xfId="0" applyFont="1" applyFill="1" applyAlignment="1">
      <alignment vertical="center"/>
    </xf>
    <xf numFmtId="44" fontId="1" fillId="11" borderId="2" xfId="4" applyNumberFormat="1" applyBorder="1"/>
    <xf numFmtId="0" fontId="1" fillId="11" borderId="2" xfId="4" applyBorder="1"/>
    <xf numFmtId="0" fontId="1" fillId="11" borderId="2" xfId="4" applyBorder="1" applyAlignment="1">
      <alignment horizontal="center" vertical="center"/>
    </xf>
    <xf numFmtId="2" fontId="0" fillId="3" borderId="4" xfId="0" applyNumberFormat="1" applyFill="1" applyBorder="1" applyAlignment="1">
      <alignment horizontal="center" vertical="center"/>
    </xf>
    <xf numFmtId="2" fontId="0" fillId="6" borderId="10" xfId="0" applyNumberFormat="1" applyFill="1" applyBorder="1" applyAlignment="1">
      <alignment horizontal="center"/>
    </xf>
    <xf numFmtId="0" fontId="11" fillId="9" borderId="2" xfId="2" applyBorder="1" applyAlignment="1">
      <alignment horizontal="center"/>
    </xf>
    <xf numFmtId="44" fontId="1" fillId="11" borderId="2" xfId="4" applyNumberFormat="1" applyBorder="1" applyAlignment="1">
      <alignment horizontal="right"/>
    </xf>
    <xf numFmtId="44" fontId="1" fillId="11" borderId="2" xfId="4" applyNumberFormat="1" applyBorder="1" applyAlignment="1">
      <alignment vertical="center"/>
    </xf>
    <xf numFmtId="0" fontId="0" fillId="3" borderId="5" xfId="0" applyFill="1" applyBorder="1" applyAlignment="1">
      <alignment horizontal="center" vertical="center" wrapText="1"/>
    </xf>
    <xf numFmtId="44" fontId="1" fillId="13" borderId="2" xfId="6" applyNumberFormat="1" applyBorder="1"/>
    <xf numFmtId="44" fontId="10" fillId="8" borderId="0" xfId="1" applyNumberFormat="1" applyBorder="1"/>
    <xf numFmtId="0" fontId="11" fillId="9" borderId="12" xfId="2" applyBorder="1" applyAlignment="1">
      <alignment horizontal="center" vertical="center"/>
    </xf>
    <xf numFmtId="44" fontId="1" fillId="11" borderId="3" xfId="4" applyNumberFormat="1" applyBorder="1" applyAlignment="1">
      <alignment horizontal="right"/>
    </xf>
    <xf numFmtId="44" fontId="0" fillId="0" borderId="0" xfId="0" applyNumberFormat="1"/>
    <xf numFmtId="0" fontId="0" fillId="6" borderId="0" xfId="0" applyFill="1" applyAlignment="1">
      <alignment horizontal="center" wrapText="1"/>
    </xf>
    <xf numFmtId="0" fontId="0" fillId="6" borderId="5" xfId="0" applyFill="1" applyBorder="1" applyAlignment="1">
      <alignment horizontal="center" wrapText="1"/>
    </xf>
    <xf numFmtId="0" fontId="10" fillId="8" borderId="0" xfId="1" applyAlignment="1">
      <alignment horizontal="right"/>
    </xf>
    <xf numFmtId="44" fontId="10" fillId="8" borderId="0" xfId="1" applyNumberFormat="1" applyAlignment="1"/>
    <xf numFmtId="0" fontId="0" fillId="6" borderId="5" xfId="0" applyFill="1" applyBorder="1" applyAlignment="1">
      <alignment horizontal="center" vertical="center" wrapText="1"/>
    </xf>
    <xf numFmtId="0" fontId="15" fillId="12" borderId="1" xfId="5" applyNumberFormat="1" applyFont="1" applyBorder="1" applyAlignment="1"/>
    <xf numFmtId="44" fontId="16" fillId="12" borderId="1" xfId="5" applyNumberFormat="1" applyFont="1" applyBorder="1" applyAlignment="1"/>
    <xf numFmtId="0" fontId="11" fillId="9" borderId="2" xfId="2" applyBorder="1" applyAlignment="1">
      <alignment horizontal="center" vertical="center"/>
    </xf>
    <xf numFmtId="0" fontId="10" fillId="8" borderId="2" xfId="1" applyBorder="1"/>
    <xf numFmtId="44" fontId="10" fillId="8" borderId="2" xfId="1" applyNumberFormat="1" applyBorder="1"/>
    <xf numFmtId="0" fontId="6" fillId="14" borderId="0" xfId="0" applyFont="1" applyFill="1" applyAlignment="1">
      <alignment horizontal="center"/>
    </xf>
    <xf numFmtId="0" fontId="6" fillId="14" borderId="3" xfId="0" applyFont="1" applyFill="1" applyBorder="1" applyAlignment="1">
      <alignment horizontal="center"/>
    </xf>
    <xf numFmtId="0" fontId="6" fillId="14" borderId="10" xfId="0" applyFont="1" applyFill="1" applyBorder="1" applyAlignment="1">
      <alignment horizontal="center"/>
    </xf>
    <xf numFmtId="0" fontId="0" fillId="0" borderId="0" xfId="0" applyAlignment="1">
      <alignment wrapText="1"/>
    </xf>
    <xf numFmtId="0" fontId="5" fillId="2" borderId="0" xfId="0" applyFont="1" applyFill="1" applyAlignment="1">
      <alignment horizontal="center" vertical="center"/>
    </xf>
    <xf numFmtId="0" fontId="0" fillId="0" borderId="0" xfId="0" applyAlignment="1">
      <alignment horizontal="center" vertical="center"/>
    </xf>
    <xf numFmtId="0" fontId="0" fillId="3" borderId="12" xfId="0" applyFill="1" applyBorder="1" applyAlignment="1">
      <alignment vertical="center" wrapText="1"/>
    </xf>
    <xf numFmtId="0" fontId="0" fillId="6" borderId="14" xfId="0" applyFill="1" applyBorder="1" applyAlignment="1">
      <alignment horizontal="left"/>
    </xf>
    <xf numFmtId="0" fontId="0" fillId="3" borderId="14" xfId="0" applyFill="1" applyBorder="1" applyAlignment="1">
      <alignment horizontal="left"/>
    </xf>
    <xf numFmtId="0" fontId="0" fillId="3" borderId="14" xfId="0" applyFill="1" applyBorder="1"/>
    <xf numFmtId="0" fontId="0" fillId="6" borderId="9" xfId="0" applyFill="1" applyBorder="1" applyAlignment="1">
      <alignment horizontal="left" vertical="center" wrapText="1"/>
    </xf>
    <xf numFmtId="0" fontId="6" fillId="3" borderId="0" xfId="0" applyFont="1" applyFill="1" applyAlignment="1">
      <alignment horizontal="center" wrapText="1"/>
    </xf>
    <xf numFmtId="1" fontId="0" fillId="11" borderId="0" xfId="4" applyNumberFormat="1" applyFont="1" applyAlignment="1">
      <alignment horizontal="center" vertical="center"/>
    </xf>
    <xf numFmtId="0" fontId="18" fillId="6" borderId="14" xfId="0" applyFont="1" applyFill="1" applyBorder="1" applyAlignment="1">
      <alignment horizontal="left" vertical="center" wrapText="1"/>
    </xf>
    <xf numFmtId="0" fontId="18" fillId="3" borderId="14" xfId="0" applyFont="1" applyFill="1" applyBorder="1" applyAlignment="1">
      <alignment horizontal="left" vertical="center" wrapText="1"/>
    </xf>
    <xf numFmtId="0" fontId="0" fillId="3" borderId="0" xfId="0" applyFill="1" applyAlignment="1">
      <alignment horizontal="left" vertical="center" wrapText="1"/>
    </xf>
    <xf numFmtId="0" fontId="0" fillId="14" borderId="0" xfId="0" applyFill="1" applyAlignment="1">
      <alignment horizontal="center"/>
    </xf>
    <xf numFmtId="0" fontId="0" fillId="3" borderId="5" xfId="0" applyFill="1" applyBorder="1" applyAlignment="1">
      <alignment vertical="center" wrapText="1"/>
    </xf>
    <xf numFmtId="0" fontId="8" fillId="4" borderId="0" xfId="0" applyFont="1" applyFill="1"/>
    <xf numFmtId="0" fontId="6" fillId="3" borderId="0" xfId="0" applyFont="1" applyFill="1" applyAlignment="1">
      <alignment horizontal="right"/>
    </xf>
    <xf numFmtId="0" fontId="6" fillId="6" borderId="0" xfId="0" applyFont="1" applyFill="1" applyAlignment="1">
      <alignment horizontal="right" vertical="center" wrapText="1"/>
    </xf>
    <xf numFmtId="44" fontId="1" fillId="11" borderId="7" xfId="4" applyNumberFormat="1" applyBorder="1" applyAlignment="1">
      <alignment horizontal="right"/>
    </xf>
    <xf numFmtId="0" fontId="11" fillId="9" borderId="10" xfId="2" applyBorder="1" applyAlignment="1">
      <alignment horizontal="center" vertical="center"/>
    </xf>
    <xf numFmtId="0" fontId="11" fillId="9" borderId="3" xfId="2" applyBorder="1" applyAlignment="1">
      <alignment horizontal="center" vertical="center"/>
    </xf>
    <xf numFmtId="0" fontId="11" fillId="9" borderId="4" xfId="2" applyBorder="1" applyAlignment="1">
      <alignment horizontal="center" vertical="center"/>
    </xf>
    <xf numFmtId="2" fontId="11" fillId="9" borderId="10" xfId="2" applyNumberFormat="1" applyBorder="1" applyAlignment="1">
      <alignment horizontal="center" vertical="center"/>
    </xf>
    <xf numFmtId="2" fontId="11" fillId="9" borderId="2" xfId="2" applyNumberFormat="1" applyBorder="1" applyAlignment="1">
      <alignment horizontal="center" vertical="center"/>
    </xf>
    <xf numFmtId="2" fontId="0" fillId="3" borderId="0" xfId="0" applyNumberFormat="1" applyFill="1" applyAlignment="1">
      <alignment horizontal="center"/>
    </xf>
    <xf numFmtId="0" fontId="0" fillId="3" borderId="0" xfId="0" applyFill="1" applyAlignment="1">
      <alignment vertical="center"/>
    </xf>
    <xf numFmtId="2" fontId="0" fillId="3" borderId="10" xfId="0" applyNumberFormat="1" applyFill="1" applyBorder="1" applyAlignment="1">
      <alignment horizontal="center"/>
    </xf>
    <xf numFmtId="0" fontId="0" fillId="16" borderId="2" xfId="0" applyFill="1" applyBorder="1"/>
    <xf numFmtId="0" fontId="3" fillId="3" borderId="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0" fillId="17" borderId="16" xfId="0" applyFill="1" applyBorder="1" applyAlignment="1">
      <alignment horizontal="left" vertical="center" wrapText="1"/>
    </xf>
    <xf numFmtId="0" fontId="0" fillId="3" borderId="16" xfId="0" applyFill="1" applyBorder="1" applyAlignment="1">
      <alignment horizontal="left" vertical="center" wrapText="1"/>
    </xf>
    <xf numFmtId="0" fontId="18" fillId="6" borderId="0" xfId="0" applyFont="1" applyFill="1" applyAlignment="1">
      <alignment horizontal="left" vertical="center" wrapText="1"/>
    </xf>
    <xf numFmtId="0" fontId="0" fillId="15" borderId="3" xfId="0" applyFill="1" applyBorder="1"/>
    <xf numFmtId="0" fontId="0" fillId="3" borderId="19" xfId="0" applyFill="1" applyBorder="1" applyAlignment="1">
      <alignment horizontal="left" vertical="center" wrapText="1"/>
    </xf>
    <xf numFmtId="0" fontId="0" fillId="3" borderId="11" xfId="0" applyFill="1" applyBorder="1" applyAlignment="1">
      <alignment horizontal="right" vertical="center"/>
    </xf>
    <xf numFmtId="0" fontId="0" fillId="6" borderId="5" xfId="0" applyFill="1" applyBorder="1" applyAlignment="1">
      <alignment horizontal="right"/>
    </xf>
    <xf numFmtId="0" fontId="0" fillId="3" borderId="5" xfId="0" applyFill="1" applyBorder="1" applyAlignment="1">
      <alignment horizontal="right"/>
    </xf>
    <xf numFmtId="0" fontId="0" fillId="6" borderId="8" xfId="0" applyFill="1" applyBorder="1" applyAlignment="1">
      <alignment horizontal="right" vertical="center"/>
    </xf>
    <xf numFmtId="44" fontId="1" fillId="11" borderId="6" xfId="4" applyNumberFormat="1" applyBorder="1" applyAlignment="1">
      <alignment horizontal="right"/>
    </xf>
    <xf numFmtId="0" fontId="0" fillId="14" borderId="4" xfId="0" applyFill="1" applyBorder="1" applyAlignment="1">
      <alignment horizontal="center"/>
    </xf>
    <xf numFmtId="0" fontId="0" fillId="14" borderId="10" xfId="0" applyFill="1" applyBorder="1" applyAlignment="1">
      <alignment horizontal="center"/>
    </xf>
    <xf numFmtId="2" fontId="11" fillId="9" borderId="3" xfId="2" applyNumberFormat="1" applyBorder="1" applyAlignment="1">
      <alignment horizontal="center" vertical="center"/>
    </xf>
    <xf numFmtId="1" fontId="11" fillId="9" borderId="12" xfId="2" applyNumberFormat="1" applyBorder="1" applyAlignment="1">
      <alignment horizontal="center" vertical="center"/>
    </xf>
    <xf numFmtId="1" fontId="11" fillId="9" borderId="0" xfId="2" applyNumberFormat="1" applyBorder="1" applyAlignment="1">
      <alignment horizontal="center" vertical="center"/>
    </xf>
    <xf numFmtId="0" fontId="0" fillId="6" borderId="0" xfId="0" applyFill="1" applyAlignment="1">
      <alignment vertical="center" wrapText="1"/>
    </xf>
    <xf numFmtId="0" fontId="1" fillId="11" borderId="2" xfId="4" applyBorder="1" applyAlignment="1">
      <alignment horizontal="center"/>
    </xf>
    <xf numFmtId="1" fontId="1" fillId="11" borderId="0" xfId="4" applyNumberFormat="1"/>
    <xf numFmtId="2" fontId="1" fillId="11" borderId="2" xfId="4" applyNumberFormat="1" applyBorder="1" applyAlignment="1">
      <alignment horizontal="center" vertical="center"/>
    </xf>
    <xf numFmtId="1" fontId="1" fillId="11" borderId="2" xfId="4" applyNumberFormat="1" applyBorder="1" applyAlignment="1">
      <alignment horizontal="center" vertical="center"/>
    </xf>
    <xf numFmtId="1" fontId="0" fillId="11" borderId="0" xfId="4" applyNumberFormat="1" applyFont="1" applyAlignment="1">
      <alignment horizontal="center" vertical="center" wrapText="1"/>
    </xf>
    <xf numFmtId="0" fontId="27" fillId="3" borderId="0" xfId="0" applyFont="1" applyFill="1" applyAlignment="1">
      <alignment horizontal="center" vertical="center" wrapText="1"/>
    </xf>
    <xf numFmtId="0" fontId="11" fillId="9" borderId="9" xfId="2" applyBorder="1" applyAlignment="1">
      <alignment horizontal="center" vertical="center"/>
    </xf>
    <xf numFmtId="0" fontId="1" fillId="11" borderId="0" xfId="4" applyBorder="1" applyAlignment="1">
      <alignment horizontal="center" vertical="center"/>
    </xf>
    <xf numFmtId="2" fontId="0" fillId="18" borderId="3" xfId="0" applyNumberFormat="1" applyFill="1" applyBorder="1" applyAlignment="1">
      <alignment horizontal="center" vertical="center"/>
    </xf>
    <xf numFmtId="44" fontId="0" fillId="11" borderId="7" xfId="4" applyNumberFormat="1" applyFont="1" applyBorder="1" applyAlignment="1">
      <alignment horizontal="right"/>
    </xf>
    <xf numFmtId="44" fontId="0" fillId="11" borderId="2" xfId="4" applyNumberFormat="1" applyFont="1" applyBorder="1"/>
    <xf numFmtId="0" fontId="26" fillId="0" borderId="0" xfId="7"/>
    <xf numFmtId="0" fontId="0" fillId="3" borderId="5" xfId="0" applyFill="1" applyBorder="1" applyAlignment="1">
      <alignment horizontal="center" wrapText="1"/>
    </xf>
    <xf numFmtId="0" fontId="26" fillId="0" borderId="0" xfId="7" applyFill="1" applyAlignment="1">
      <alignment horizontal="left" vertical="center" wrapText="1"/>
    </xf>
    <xf numFmtId="0" fontId="2" fillId="2" borderId="0" xfId="0" applyFont="1" applyFill="1" applyAlignment="1">
      <alignment horizontal="center" vertical="center"/>
    </xf>
    <xf numFmtId="0" fontId="0" fillId="6" borderId="0" xfId="0" applyFill="1" applyAlignment="1">
      <alignment horizontal="center" vertical="center" wrapText="1"/>
    </xf>
    <xf numFmtId="0" fontId="2" fillId="2" borderId="0" xfId="0" applyFont="1" applyFill="1" applyAlignment="1">
      <alignment horizontal="center"/>
    </xf>
    <xf numFmtId="0" fontId="2" fillId="2" borderId="0" xfId="0" applyFont="1" applyFill="1" applyAlignment="1">
      <alignment horizontal="center" vertical="center" wrapText="1"/>
    </xf>
    <xf numFmtId="0" fontId="0" fillId="3" borderId="0" xfId="0" applyFill="1" applyAlignment="1">
      <alignment horizontal="center" vertical="center" wrapText="1"/>
    </xf>
    <xf numFmtId="0" fontId="2" fillId="2" borderId="0" xfId="0" applyFont="1" applyFill="1" applyAlignment="1">
      <alignment horizontal="right"/>
    </xf>
    <xf numFmtId="0" fontId="0" fillId="6" borderId="0" xfId="0" applyFill="1" applyAlignment="1">
      <alignment horizontal="left"/>
    </xf>
    <xf numFmtId="0" fontId="0" fillId="6" borderId="14" xfId="0" applyFill="1" applyBorder="1" applyAlignment="1">
      <alignment horizontal="left"/>
    </xf>
    <xf numFmtId="0" fontId="0" fillId="14" borderId="13" xfId="0" applyFill="1" applyBorder="1" applyAlignment="1">
      <alignment horizontal="center" vertical="center"/>
    </xf>
    <xf numFmtId="0" fontId="2" fillId="2" borderId="0" xfId="0" applyFont="1" applyFill="1" applyAlignment="1">
      <alignment horizontal="center" vertical="center"/>
    </xf>
    <xf numFmtId="0" fontId="0" fillId="6" borderId="0" xfId="0" applyFill="1" applyAlignment="1">
      <alignment horizontal="center" vertical="center" wrapText="1"/>
    </xf>
    <xf numFmtId="0" fontId="2" fillId="2" borderId="0" xfId="0" applyFont="1" applyFill="1" applyAlignment="1">
      <alignment horizontal="center" vertical="center" wrapText="1"/>
    </xf>
    <xf numFmtId="0" fontId="0" fillId="3" borderId="5" xfId="0" applyFill="1" applyBorder="1" applyAlignment="1">
      <alignment horizontal="center" vertical="center" wrapText="1"/>
    </xf>
    <xf numFmtId="0" fontId="0" fillId="6" borderId="5" xfId="0" applyFill="1" applyBorder="1" applyAlignment="1">
      <alignment horizontal="center" vertical="center" wrapText="1"/>
    </xf>
    <xf numFmtId="164" fontId="15" fillId="12" borderId="1" xfId="5" applyNumberFormat="1" applyFont="1" applyBorder="1" applyAlignment="1"/>
    <xf numFmtId="44" fontId="1" fillId="11" borderId="12" xfId="4" applyNumberFormat="1" applyBorder="1" applyAlignment="1">
      <alignment horizontal="right"/>
    </xf>
    <xf numFmtId="0" fontId="0" fillId="14" borderId="14" xfId="0" applyFill="1" applyBorder="1" applyAlignment="1">
      <alignment vertical="center"/>
    </xf>
    <xf numFmtId="0" fontId="0" fillId="14" borderId="9" xfId="0" applyFill="1" applyBorder="1" applyAlignment="1">
      <alignment vertical="center"/>
    </xf>
    <xf numFmtId="2" fontId="1" fillId="11" borderId="4" xfId="4" applyNumberFormat="1" applyBorder="1" applyAlignment="1">
      <alignment vertical="center"/>
    </xf>
    <xf numFmtId="2" fontId="1" fillId="11" borderId="25" xfId="4" applyNumberFormat="1" applyBorder="1" applyAlignment="1">
      <alignment vertical="center"/>
    </xf>
    <xf numFmtId="2" fontId="11" fillId="9" borderId="26" xfId="2" applyNumberFormat="1" applyBorder="1" applyAlignment="1">
      <alignment horizontal="center" vertical="center"/>
    </xf>
    <xf numFmtId="2" fontId="11" fillId="9" borderId="25" xfId="2" applyNumberFormat="1" applyBorder="1" applyAlignment="1">
      <alignment horizontal="center" vertical="center"/>
    </xf>
    <xf numFmtId="164" fontId="1" fillId="11" borderId="2" xfId="4" applyNumberFormat="1" applyBorder="1" applyAlignment="1">
      <alignment horizontal="center" vertical="center"/>
    </xf>
    <xf numFmtId="44" fontId="15" fillId="12" borderId="27" xfId="5" applyNumberFormat="1" applyFont="1" applyBorder="1"/>
    <xf numFmtId="44" fontId="15" fillId="12" borderId="30" xfId="5" applyNumberFormat="1" applyFont="1" applyBorder="1"/>
    <xf numFmtId="0" fontId="2" fillId="2" borderId="24" xfId="0" applyFont="1" applyFill="1" applyBorder="1" applyAlignment="1">
      <alignment horizontal="center" vertical="center"/>
    </xf>
    <xf numFmtId="165" fontId="0" fillId="18" borderId="3" xfId="0" applyNumberFormat="1" applyFill="1" applyBorder="1" applyAlignment="1">
      <alignment horizontal="center" vertical="center"/>
    </xf>
    <xf numFmtId="165" fontId="0" fillId="3" borderId="4" xfId="0" applyNumberFormat="1" applyFill="1" applyBorder="1" applyAlignment="1">
      <alignment horizontal="center" vertical="center"/>
    </xf>
    <xf numFmtId="165" fontId="0" fillId="6" borderId="3" xfId="0" applyNumberFormat="1" applyFill="1" applyBorder="1" applyAlignment="1">
      <alignment horizontal="center" vertical="center"/>
    </xf>
    <xf numFmtId="165" fontId="0" fillId="6" borderId="4" xfId="0" applyNumberFormat="1" applyFill="1" applyBorder="1" applyAlignment="1">
      <alignment horizontal="center" vertical="center"/>
    </xf>
    <xf numFmtId="165" fontId="0" fillId="3" borderId="3" xfId="0" applyNumberFormat="1" applyFill="1" applyBorder="1" applyAlignment="1">
      <alignment horizontal="center" vertical="center"/>
    </xf>
    <xf numFmtId="165" fontId="0" fillId="6" borderId="10" xfId="0" applyNumberFormat="1" applyFill="1" applyBorder="1" applyAlignment="1">
      <alignment horizontal="center" vertical="center"/>
    </xf>
    <xf numFmtId="1" fontId="11" fillId="9" borderId="2" xfId="2" applyNumberFormat="1" applyBorder="1" applyAlignment="1">
      <alignment horizontal="center" vertical="center"/>
    </xf>
    <xf numFmtId="1" fontId="1" fillId="11" borderId="2" xfId="4" applyNumberFormat="1" applyBorder="1" applyAlignment="1">
      <alignment horizontal="center" vertical="center"/>
    </xf>
    <xf numFmtId="44" fontId="1" fillId="11" borderId="2" xfId="4" applyNumberFormat="1" applyBorder="1" applyAlignment="1">
      <alignment horizontal="right" vertical="center"/>
    </xf>
    <xf numFmtId="0" fontId="7" fillId="5" borderId="0" xfId="0" applyFont="1" applyFill="1" applyAlignment="1"/>
    <xf numFmtId="49" fontId="12" fillId="10" borderId="2" xfId="3" applyNumberFormat="1" applyBorder="1" applyProtection="1">
      <protection locked="0"/>
    </xf>
    <xf numFmtId="1" fontId="12" fillId="10" borderId="2" xfId="3" applyNumberFormat="1" applyBorder="1" applyProtection="1">
      <protection locked="0"/>
    </xf>
    <xf numFmtId="49" fontId="12" fillId="10" borderId="2" xfId="3" applyNumberFormat="1" applyBorder="1" applyAlignment="1" applyProtection="1">
      <alignment vertical="center"/>
      <protection locked="0"/>
    </xf>
    <xf numFmtId="1" fontId="12" fillId="10" borderId="0" xfId="3" applyNumberFormat="1" applyAlignment="1" applyProtection="1">
      <alignment horizontal="center" vertical="center"/>
      <protection locked="0"/>
    </xf>
    <xf numFmtId="2" fontId="12" fillId="10" borderId="2" xfId="3" applyNumberFormat="1" applyBorder="1" applyAlignment="1" applyProtection="1">
      <alignment horizontal="center" vertical="center"/>
      <protection locked="0"/>
    </xf>
    <xf numFmtId="1" fontId="12" fillId="10" borderId="2" xfId="3" applyNumberFormat="1" applyBorder="1" applyAlignment="1" applyProtection="1">
      <alignment horizontal="center" vertical="center"/>
      <protection locked="0"/>
    </xf>
    <xf numFmtId="44" fontId="12" fillId="10" borderId="2" xfId="3" applyNumberFormat="1" applyBorder="1" applyAlignment="1" applyProtection="1">
      <alignment horizontal="center" vertical="center"/>
      <protection locked="0"/>
    </xf>
    <xf numFmtId="44" fontId="12" fillId="10" borderId="2" xfId="3" applyNumberFormat="1" applyBorder="1" applyProtection="1">
      <protection locked="0"/>
    </xf>
    <xf numFmtId="1" fontId="12" fillId="10" borderId="25" xfId="3" applyNumberFormat="1" applyBorder="1" applyAlignment="1" applyProtection="1">
      <alignment horizontal="center" vertical="center"/>
      <protection locked="0"/>
    </xf>
    <xf numFmtId="1" fontId="12" fillId="10" borderId="8" xfId="3" applyNumberFormat="1" applyBorder="1" applyAlignment="1" applyProtection="1">
      <alignment horizontal="center" vertical="center"/>
      <protection locked="0"/>
    </xf>
    <xf numFmtId="1" fontId="12" fillId="10" borderId="6" xfId="3" applyNumberFormat="1" applyBorder="1" applyAlignment="1" applyProtection="1">
      <alignment horizontal="center" vertical="center"/>
      <protection locked="0"/>
    </xf>
    <xf numFmtId="1" fontId="12" fillId="10" borderId="11" xfId="3" applyNumberFormat="1" applyBorder="1" applyAlignment="1" applyProtection="1">
      <alignment horizontal="center" vertical="center"/>
      <protection locked="0"/>
    </xf>
    <xf numFmtId="2" fontId="12" fillId="10" borderId="2" xfId="3" applyNumberFormat="1" applyBorder="1" applyAlignment="1" applyProtection="1">
      <alignment horizontal="center"/>
      <protection locked="0"/>
    </xf>
    <xf numFmtId="0" fontId="12" fillId="10" borderId="2" xfId="3" applyBorder="1" applyAlignment="1" applyProtection="1">
      <alignment horizontal="center" vertical="center"/>
      <protection locked="0"/>
    </xf>
    <xf numFmtId="0" fontId="12" fillId="10" borderId="2" xfId="3" applyBorder="1" applyProtection="1">
      <protection locked="0"/>
    </xf>
    <xf numFmtId="0" fontId="12" fillId="10" borderId="2" xfId="3" applyBorder="1" applyAlignment="1" applyProtection="1">
      <alignment horizontal="center"/>
      <protection locked="0"/>
    </xf>
    <xf numFmtId="1" fontId="12" fillId="10" borderId="0" xfId="3" applyNumberFormat="1" applyAlignment="1" applyProtection="1">
      <alignment horizontal="center" wrapText="1"/>
      <protection locked="0"/>
    </xf>
    <xf numFmtId="44" fontId="29" fillId="19" borderId="20" xfId="0" applyNumberFormat="1" applyFont="1" applyFill="1" applyBorder="1" applyAlignment="1" applyProtection="1">
      <protection locked="0"/>
    </xf>
    <xf numFmtId="44" fontId="29" fillId="19" borderId="21" xfId="0" applyNumberFormat="1" applyFont="1" applyFill="1" applyBorder="1" applyAlignment="1" applyProtection="1">
      <protection locked="0"/>
    </xf>
    <xf numFmtId="44" fontId="29" fillId="19" borderId="22" xfId="0" applyNumberFormat="1" applyFont="1" applyFill="1" applyBorder="1" applyAlignment="1" applyProtection="1">
      <protection locked="0"/>
    </xf>
    <xf numFmtId="44" fontId="29" fillId="19" borderId="23" xfId="0" applyNumberFormat="1" applyFont="1" applyFill="1" applyBorder="1" applyAlignment="1" applyProtection="1">
      <protection locked="0"/>
    </xf>
    <xf numFmtId="44" fontId="12" fillId="10" borderId="2" xfId="3" applyNumberFormat="1" applyBorder="1" applyAlignment="1" applyProtection="1">
      <alignment horizontal="right" vertical="center"/>
      <protection locked="0"/>
    </xf>
    <xf numFmtId="44" fontId="12" fillId="10" borderId="2" xfId="3" applyNumberFormat="1" applyBorder="1" applyAlignment="1" applyProtection="1">
      <alignment horizontal="right"/>
      <protection locked="0"/>
    </xf>
    <xf numFmtId="164" fontId="12" fillId="10" borderId="0" xfId="3" applyNumberFormat="1" applyAlignment="1" applyProtection="1">
      <alignment vertical="center" wrapText="1"/>
      <protection locked="0"/>
    </xf>
    <xf numFmtId="1" fontId="12" fillId="10" borderId="4" xfId="3" applyNumberFormat="1" applyBorder="1" applyAlignment="1" applyProtection="1">
      <protection locked="0"/>
    </xf>
    <xf numFmtId="1" fontId="12" fillId="10" borderId="3" xfId="3" applyNumberFormat="1" applyBorder="1" applyAlignment="1" applyProtection="1">
      <protection locked="0"/>
    </xf>
    <xf numFmtId="44" fontId="12" fillId="10" borderId="2" xfId="3" applyNumberFormat="1" applyBorder="1" applyAlignment="1" applyProtection="1">
      <alignment horizontal="center"/>
      <protection locked="0"/>
    </xf>
    <xf numFmtId="0" fontId="5" fillId="2" borderId="11" xfId="0" applyFont="1" applyFill="1" applyBorder="1" applyAlignment="1">
      <alignment horizontal="center" vertical="center"/>
    </xf>
    <xf numFmtId="0" fontId="5" fillId="2" borderId="12" xfId="0" applyFont="1" applyFill="1" applyBorder="1" applyAlignment="1">
      <alignment horizontal="center" vertical="center"/>
    </xf>
    <xf numFmtId="0" fontId="0" fillId="3" borderId="8" xfId="0" applyFill="1" applyBorder="1" applyAlignment="1">
      <alignment horizontal="left" vertical="center" wrapText="1"/>
    </xf>
    <xf numFmtId="0" fontId="0" fillId="3" borderId="9" xfId="0" applyFill="1" applyBorder="1" applyAlignment="1">
      <alignment horizontal="left" vertical="center" wrapText="1"/>
    </xf>
    <xf numFmtId="0" fontId="5" fillId="2" borderId="18" xfId="0" applyFont="1" applyFill="1" applyBorder="1" applyAlignment="1">
      <alignment horizontal="center" vertical="center"/>
    </xf>
    <xf numFmtId="0" fontId="5" fillId="2" borderId="19" xfId="0" applyFont="1" applyFill="1" applyBorder="1" applyAlignment="1">
      <alignment horizontal="center" vertical="center"/>
    </xf>
    <xf numFmtId="0" fontId="7" fillId="5" borderId="5" xfId="0" applyFont="1" applyFill="1" applyBorder="1" applyAlignment="1">
      <alignment horizontal="left"/>
    </xf>
    <xf numFmtId="0" fontId="7" fillId="5" borderId="0" xfId="0" applyFont="1" applyFill="1" applyAlignment="1">
      <alignment horizontal="left"/>
    </xf>
    <xf numFmtId="0" fontId="8" fillId="4" borderId="5" xfId="0" applyFont="1" applyFill="1" applyBorder="1" applyAlignment="1">
      <alignment horizontal="left"/>
    </xf>
    <xf numFmtId="0" fontId="8" fillId="4" borderId="0" xfId="0" applyFont="1" applyFill="1" applyAlignment="1">
      <alignment horizontal="left"/>
    </xf>
    <xf numFmtId="0" fontId="8" fillId="4" borderId="5" xfId="0" applyFont="1" applyFill="1" applyBorder="1" applyAlignment="1">
      <alignment horizontal="left" wrapText="1"/>
    </xf>
    <xf numFmtId="0" fontId="8" fillId="4" borderId="0" xfId="0" applyFont="1" applyFill="1" applyAlignment="1">
      <alignment horizontal="left" wrapText="1"/>
    </xf>
    <xf numFmtId="49" fontId="12" fillId="10" borderId="0" xfId="3" applyNumberFormat="1" applyAlignment="1" applyProtection="1">
      <alignment horizontal="left" wrapText="1"/>
      <protection locked="0"/>
    </xf>
    <xf numFmtId="0" fontId="14" fillId="2" borderId="0" xfId="0" applyFont="1" applyFill="1" applyAlignment="1">
      <alignment horizontal="right"/>
    </xf>
    <xf numFmtId="0" fontId="2" fillId="2" borderId="0" xfId="0" applyFont="1" applyFill="1" applyAlignment="1">
      <alignment horizontal="left" wrapText="1"/>
    </xf>
    <xf numFmtId="0" fontId="2" fillId="2" borderId="0" xfId="0" applyFont="1" applyFill="1" applyAlignment="1">
      <alignment horizontal="center" vertical="center"/>
    </xf>
    <xf numFmtId="0" fontId="0" fillId="3" borderId="5" xfId="0" applyFill="1" applyBorder="1" applyAlignment="1">
      <alignment horizontal="right" vertical="center"/>
    </xf>
    <xf numFmtId="0" fontId="6" fillId="3" borderId="0" xfId="0" applyFont="1" applyFill="1" applyAlignment="1">
      <alignment horizontal="right" vertical="center" wrapText="1"/>
    </xf>
    <xf numFmtId="0" fontId="6" fillId="3" borderId="0" xfId="0" applyFont="1" applyFill="1" applyAlignment="1">
      <alignment horizontal="center" vertical="center"/>
    </xf>
    <xf numFmtId="0" fontId="6" fillId="3" borderId="0" xfId="0" applyFont="1" applyFill="1" applyAlignment="1">
      <alignment horizontal="center"/>
    </xf>
    <xf numFmtId="49" fontId="12" fillId="10" borderId="0" xfId="3" applyNumberFormat="1" applyAlignment="1" applyProtection="1">
      <alignment horizontal="center" wrapText="1"/>
      <protection locked="0"/>
    </xf>
    <xf numFmtId="0" fontId="12" fillId="10" borderId="0" xfId="3" applyAlignment="1" applyProtection="1">
      <alignment horizontal="center" vertical="center" wrapText="1"/>
      <protection locked="0"/>
    </xf>
    <xf numFmtId="0" fontId="2" fillId="2" borderId="0" xfId="0" applyFont="1" applyFill="1" applyAlignment="1">
      <alignment horizontal="right" wrapText="1"/>
    </xf>
    <xf numFmtId="0" fontId="0" fillId="6" borderId="5" xfId="0" applyFill="1" applyBorder="1" applyAlignment="1">
      <alignment horizontal="center" vertical="center"/>
    </xf>
    <xf numFmtId="0" fontId="0" fillId="6" borderId="0" xfId="0" applyFill="1" applyAlignment="1">
      <alignment horizontal="center" vertical="center"/>
    </xf>
    <xf numFmtId="0" fontId="0" fillId="3" borderId="5" xfId="0" applyFill="1" applyBorder="1" applyAlignment="1">
      <alignment horizontal="center" vertical="center"/>
    </xf>
    <xf numFmtId="0" fontId="0" fillId="3" borderId="0" xfId="0" applyFill="1" applyAlignment="1">
      <alignment horizontal="center" vertical="center"/>
    </xf>
    <xf numFmtId="0" fontId="15" fillId="12" borderId="0" xfId="5" applyFont="1" applyAlignment="1">
      <alignment horizontal="right"/>
    </xf>
    <xf numFmtId="0" fontId="15" fillId="12" borderId="15" xfId="5" applyFont="1" applyBorder="1" applyAlignment="1">
      <alignment horizontal="right"/>
    </xf>
    <xf numFmtId="165" fontId="1" fillId="11" borderId="2" xfId="4" applyNumberFormat="1" applyBorder="1" applyAlignment="1">
      <alignment horizontal="center" vertical="center"/>
    </xf>
    <xf numFmtId="44" fontId="11" fillId="9" borderId="2" xfId="2" applyNumberFormat="1" applyBorder="1" applyAlignment="1">
      <alignment horizontal="center" vertical="center"/>
    </xf>
    <xf numFmtId="0" fontId="0" fillId="6" borderId="0" xfId="0" applyFill="1" applyAlignment="1">
      <alignment horizontal="center" vertical="center" wrapText="1"/>
    </xf>
    <xf numFmtId="0" fontId="2" fillId="2" borderId="0" xfId="0" applyFont="1" applyFill="1" applyAlignment="1">
      <alignment horizontal="center"/>
    </xf>
    <xf numFmtId="0" fontId="2" fillId="0" borderId="0" xfId="0" applyFont="1" applyAlignment="1">
      <alignment horizontal="center" vertical="center"/>
    </xf>
    <xf numFmtId="0" fontId="2" fillId="2" borderId="0" xfId="0" applyFont="1" applyFill="1" applyAlignment="1">
      <alignment horizontal="center" vertical="center" wrapText="1"/>
    </xf>
    <xf numFmtId="0" fontId="0" fillId="14" borderId="5" xfId="4" applyFont="1" applyFill="1" applyBorder="1" applyAlignment="1">
      <alignment horizontal="center" vertical="center"/>
    </xf>
    <xf numFmtId="0" fontId="0" fillId="14" borderId="0" xfId="4" applyFont="1" applyFill="1" applyBorder="1" applyAlignment="1">
      <alignment horizontal="center" vertical="center"/>
    </xf>
    <xf numFmtId="0" fontId="12" fillId="10" borderId="5" xfId="3" applyBorder="1" applyAlignment="1" applyProtection="1">
      <alignment horizontal="center" vertical="center"/>
      <protection locked="0"/>
    </xf>
    <xf numFmtId="0" fontId="12" fillId="10" borderId="0" xfId="3" applyBorder="1" applyAlignment="1" applyProtection="1">
      <alignment horizontal="center" vertical="center"/>
      <protection locked="0"/>
    </xf>
    <xf numFmtId="0" fontId="2" fillId="2" borderId="5" xfId="0" applyFont="1" applyFill="1" applyBorder="1" applyAlignment="1">
      <alignment horizontal="center" vertical="center"/>
    </xf>
    <xf numFmtId="0" fontId="1" fillId="14" borderId="5" xfId="4" applyFill="1" applyBorder="1" applyAlignment="1">
      <alignment horizontal="center" vertical="center"/>
    </xf>
    <xf numFmtId="0" fontId="1" fillId="14" borderId="0" xfId="4" applyFill="1" applyBorder="1" applyAlignment="1">
      <alignment horizontal="center" vertical="center"/>
    </xf>
    <xf numFmtId="0" fontId="2" fillId="2" borderId="5" xfId="0" applyFont="1" applyFill="1" applyBorder="1" applyAlignment="1">
      <alignment horizontal="center" vertical="center" wrapText="1"/>
    </xf>
    <xf numFmtId="1" fontId="0" fillId="11" borderId="5" xfId="4" applyNumberFormat="1" applyFont="1" applyBorder="1" applyAlignment="1">
      <alignment horizontal="center" vertical="center" wrapText="1"/>
    </xf>
    <xf numFmtId="1" fontId="0" fillId="11" borderId="0" xfId="4" applyNumberFormat="1" applyFont="1" applyBorder="1" applyAlignment="1">
      <alignment horizontal="center" vertical="center" wrapText="1"/>
    </xf>
    <xf numFmtId="0" fontId="2" fillId="2" borderId="0" xfId="0" applyFont="1" applyFill="1" applyBorder="1" applyAlignment="1">
      <alignment horizontal="center" vertical="center" wrapText="1"/>
    </xf>
    <xf numFmtId="2" fontId="0" fillId="11" borderId="5" xfId="4" applyNumberFormat="1" applyFont="1" applyBorder="1" applyAlignment="1">
      <alignment horizontal="center" vertical="center"/>
    </xf>
    <xf numFmtId="2" fontId="0" fillId="11" borderId="0" xfId="4" applyNumberFormat="1" applyFont="1" applyBorder="1" applyAlignment="1">
      <alignment horizontal="center" vertical="center"/>
    </xf>
    <xf numFmtId="0" fontId="10" fillId="8" borderId="0" xfId="1" applyAlignment="1">
      <alignment horizontal="right"/>
    </xf>
    <xf numFmtId="44" fontId="12" fillId="10" borderId="2" xfId="3" applyNumberFormat="1" applyBorder="1" applyAlignment="1" applyProtection="1">
      <alignment horizontal="center"/>
      <protection locked="0"/>
    </xf>
    <xf numFmtId="44" fontId="11" fillId="9" borderId="6" xfId="2" applyNumberFormat="1" applyBorder="1" applyAlignment="1">
      <alignment horizontal="right" vertical="center"/>
    </xf>
    <xf numFmtId="44" fontId="11" fillId="9" borderId="2" xfId="2" applyNumberFormat="1" applyBorder="1" applyAlignment="1">
      <alignment horizontal="right" vertical="center"/>
    </xf>
    <xf numFmtId="44" fontId="15" fillId="12" borderId="17" xfId="5" applyNumberFormat="1" applyFont="1" applyBorder="1" applyAlignment="1">
      <alignment horizontal="center"/>
    </xf>
    <xf numFmtId="44" fontId="15" fillId="12" borderId="0" xfId="5" applyNumberFormat="1" applyFont="1" applyBorder="1" applyAlignment="1">
      <alignment horizontal="center"/>
    </xf>
    <xf numFmtId="0" fontId="0" fillId="3" borderId="5" xfId="0" applyFill="1" applyBorder="1" applyAlignment="1">
      <alignment horizontal="center" vertical="center" wrapText="1"/>
    </xf>
    <xf numFmtId="0" fontId="0" fillId="3" borderId="0" xfId="0" applyFill="1" applyAlignment="1">
      <alignment horizontal="center" vertical="center" wrapText="1"/>
    </xf>
    <xf numFmtId="0" fontId="0" fillId="6" borderId="5" xfId="0" applyFill="1" applyBorder="1" applyAlignment="1">
      <alignment horizontal="center" wrapText="1"/>
    </xf>
    <xf numFmtId="0" fontId="0" fillId="6" borderId="0" xfId="0" applyFill="1" applyAlignment="1">
      <alignment horizontal="center" wrapText="1"/>
    </xf>
    <xf numFmtId="0" fontId="6" fillId="14" borderId="3" xfId="3" applyFont="1" applyFill="1" applyBorder="1" applyAlignment="1">
      <alignment horizontal="center" vertical="center"/>
    </xf>
    <xf numFmtId="0" fontId="6" fillId="14" borderId="4" xfId="3" applyFont="1" applyFill="1" applyBorder="1" applyAlignment="1">
      <alignment horizontal="center" vertical="center"/>
    </xf>
    <xf numFmtId="0" fontId="7" fillId="5" borderId="0" xfId="0" applyFont="1" applyFill="1" applyAlignment="1">
      <alignment horizontal="center"/>
    </xf>
    <xf numFmtId="0" fontId="12" fillId="10" borderId="3" xfId="3" applyBorder="1" applyAlignment="1" applyProtection="1">
      <alignment horizontal="center"/>
      <protection locked="0"/>
    </xf>
    <xf numFmtId="0" fontId="12" fillId="10" borderId="4" xfId="3" applyBorder="1" applyAlignment="1" applyProtection="1">
      <alignment horizontal="center"/>
      <protection locked="0"/>
    </xf>
    <xf numFmtId="2" fontId="12" fillId="10" borderId="3" xfId="3" applyNumberFormat="1" applyBorder="1" applyAlignment="1" applyProtection="1">
      <alignment horizontal="center"/>
      <protection locked="0"/>
    </xf>
    <xf numFmtId="2" fontId="12" fillId="10" borderId="4" xfId="3" applyNumberFormat="1" applyBorder="1" applyAlignment="1" applyProtection="1">
      <alignment horizontal="center"/>
      <protection locked="0"/>
    </xf>
    <xf numFmtId="0" fontId="1" fillId="11" borderId="4" xfId="4" applyBorder="1" applyAlignment="1">
      <alignment horizontal="center" vertical="center"/>
    </xf>
    <xf numFmtId="0" fontId="1" fillId="11" borderId="2" xfId="4" applyBorder="1" applyAlignment="1">
      <alignment horizontal="center" vertical="center"/>
    </xf>
    <xf numFmtId="0" fontId="2" fillId="2" borderId="0" xfId="0" applyFont="1" applyFill="1" applyAlignment="1">
      <alignment horizontal="right"/>
    </xf>
    <xf numFmtId="0" fontId="0" fillId="6" borderId="0" xfId="0" applyFill="1" applyAlignment="1">
      <alignment horizontal="left"/>
    </xf>
    <xf numFmtId="0" fontId="0" fillId="6" borderId="14" xfId="0" applyFill="1" applyBorder="1" applyAlignment="1">
      <alignment horizontal="left"/>
    </xf>
    <xf numFmtId="0" fontId="0" fillId="3" borderId="0" xfId="0" applyFill="1" applyAlignment="1">
      <alignment horizontal="left"/>
    </xf>
    <xf numFmtId="0" fontId="0" fillId="3" borderId="14" xfId="0" applyFill="1" applyBorder="1" applyAlignment="1">
      <alignment horizontal="left"/>
    </xf>
    <xf numFmtId="0" fontId="12" fillId="10" borderId="6" xfId="3" applyBorder="1" applyAlignment="1" applyProtection="1">
      <alignment horizontal="center"/>
      <protection locked="0"/>
    </xf>
    <xf numFmtId="0" fontId="12" fillId="10" borderId="11" xfId="3" applyBorder="1" applyAlignment="1" applyProtection="1">
      <alignment horizontal="center"/>
      <protection locked="0"/>
    </xf>
    <xf numFmtId="2" fontId="12" fillId="10" borderId="7" xfId="3" applyNumberFormat="1" applyBorder="1" applyAlignment="1" applyProtection="1">
      <alignment horizontal="center"/>
      <protection locked="0"/>
    </xf>
    <xf numFmtId="0" fontId="12" fillId="10" borderId="2" xfId="3" applyBorder="1" applyAlignment="1" applyProtection="1">
      <alignment horizontal="center"/>
      <protection locked="0"/>
    </xf>
    <xf numFmtId="6" fontId="0" fillId="6" borderId="5" xfId="0" applyNumberFormat="1" applyFill="1" applyBorder="1" applyAlignment="1">
      <alignment horizontal="center" wrapText="1"/>
    </xf>
    <xf numFmtId="44" fontId="11" fillId="9" borderId="3" xfId="2" applyNumberFormat="1" applyBorder="1" applyAlignment="1">
      <alignment horizontal="center" vertical="center"/>
    </xf>
    <xf numFmtId="44" fontId="11" fillId="9" borderId="10" xfId="2" applyNumberFormat="1" applyBorder="1" applyAlignment="1">
      <alignment horizontal="center" vertical="center"/>
    </xf>
    <xf numFmtId="44" fontId="11" fillId="9" borderId="4" xfId="2" applyNumberFormat="1" applyBorder="1" applyAlignment="1">
      <alignment horizontal="center" vertical="center"/>
    </xf>
    <xf numFmtId="0" fontId="12" fillId="10" borderId="8" xfId="3" applyBorder="1" applyAlignment="1" applyProtection="1">
      <alignment horizontal="center"/>
      <protection locked="0"/>
    </xf>
    <xf numFmtId="2" fontId="12" fillId="10" borderId="9" xfId="3" applyNumberFormat="1" applyBorder="1" applyAlignment="1" applyProtection="1">
      <alignment horizontal="center"/>
      <protection locked="0"/>
    </xf>
    <xf numFmtId="0" fontId="15" fillId="12" borderId="0" xfId="5" applyFont="1" applyBorder="1" applyAlignment="1">
      <alignment horizontal="right"/>
    </xf>
    <xf numFmtId="0" fontId="10" fillId="8" borderId="0" xfId="1" applyAlignment="1">
      <alignment horizontal="right" vertical="center"/>
    </xf>
    <xf numFmtId="0" fontId="10" fillId="8" borderId="0" xfId="1" applyBorder="1" applyAlignment="1">
      <alignment horizontal="right" vertical="center"/>
    </xf>
    <xf numFmtId="0" fontId="20" fillId="7" borderId="0" xfId="0" applyFont="1" applyFill="1" applyAlignment="1">
      <alignment horizontal="center"/>
    </xf>
    <xf numFmtId="44" fontId="1" fillId="11" borderId="2" xfId="4" applyNumberFormat="1" applyBorder="1" applyAlignment="1">
      <alignment horizontal="center"/>
    </xf>
    <xf numFmtId="0" fontId="6" fillId="14" borderId="10" xfId="3" applyFont="1" applyFill="1" applyBorder="1" applyAlignment="1">
      <alignment horizontal="center" vertical="center"/>
    </xf>
    <xf numFmtId="0" fontId="24" fillId="7" borderId="0" xfId="0" applyFont="1" applyFill="1" applyAlignment="1">
      <alignment horizontal="center"/>
    </xf>
    <xf numFmtId="0" fontId="2" fillId="2" borderId="24" xfId="0" applyFont="1" applyFill="1" applyBorder="1" applyAlignment="1">
      <alignment horizontal="center" vertical="center" wrapText="1"/>
    </xf>
    <xf numFmtId="1" fontId="1" fillId="11" borderId="2" xfId="4" applyNumberFormat="1" applyBorder="1" applyAlignment="1">
      <alignment horizontal="center" vertical="center"/>
    </xf>
    <xf numFmtId="0" fontId="0" fillId="7" borderId="0" xfId="0" applyFill="1" applyAlignment="1">
      <alignment horizontal="left" vertical="center" wrapText="1"/>
    </xf>
    <xf numFmtId="164" fontId="11" fillId="9" borderId="10" xfId="2" applyNumberFormat="1" applyBorder="1" applyAlignment="1">
      <alignment horizontal="right" vertical="center"/>
    </xf>
    <xf numFmtId="164" fontId="11" fillId="9" borderId="4" xfId="2" applyNumberFormat="1" applyBorder="1" applyAlignment="1">
      <alignment horizontal="right" vertical="center"/>
    </xf>
    <xf numFmtId="44" fontId="11" fillId="9" borderId="10" xfId="2" applyNumberFormat="1" applyBorder="1" applyAlignment="1">
      <alignment horizontal="right" vertical="center" wrapText="1"/>
    </xf>
    <xf numFmtId="0" fontId="0" fillId="18" borderId="0" xfId="0" applyFill="1" applyAlignment="1">
      <alignment horizontal="left"/>
    </xf>
    <xf numFmtId="0" fontId="0" fillId="18" borderId="14" xfId="0" applyFill="1" applyBorder="1" applyAlignment="1">
      <alignment horizontal="left"/>
    </xf>
    <xf numFmtId="44" fontId="1" fillId="11" borderId="32" xfId="4" applyNumberFormat="1" applyBorder="1" applyAlignment="1">
      <alignment horizontal="center"/>
    </xf>
    <xf numFmtId="44" fontId="1" fillId="11" borderId="14" xfId="4" applyNumberFormat="1" applyBorder="1" applyAlignment="1">
      <alignment horizontal="center"/>
    </xf>
    <xf numFmtId="0" fontId="11" fillId="9" borderId="5" xfId="2" applyBorder="1" applyAlignment="1">
      <alignment horizontal="center"/>
    </xf>
    <xf numFmtId="0" fontId="11" fillId="9" borderId="31" xfId="2" applyBorder="1" applyAlignment="1">
      <alignment horizontal="center"/>
    </xf>
    <xf numFmtId="44" fontId="1" fillId="11" borderId="32" xfId="4" applyNumberFormat="1" applyBorder="1" applyAlignment="1">
      <alignment horizontal="center" vertical="center"/>
    </xf>
    <xf numFmtId="44" fontId="1" fillId="11" borderId="31" xfId="4" applyNumberFormat="1" applyBorder="1" applyAlignment="1">
      <alignment horizontal="center" vertical="center"/>
    </xf>
    <xf numFmtId="0" fontId="0" fillId="3" borderId="0" xfId="0" applyFill="1" applyBorder="1" applyAlignment="1">
      <alignment horizontal="center" vertical="center" wrapText="1"/>
    </xf>
    <xf numFmtId="0" fontId="0" fillId="6" borderId="5" xfId="0" applyFill="1" applyBorder="1" applyAlignment="1">
      <alignment horizontal="center" vertical="center" wrapText="1"/>
    </xf>
    <xf numFmtId="0" fontId="0" fillId="6" borderId="0" xfId="0" applyFill="1" applyBorder="1" applyAlignment="1">
      <alignment horizontal="center" vertical="center" wrapText="1"/>
    </xf>
    <xf numFmtId="0" fontId="0" fillId="6" borderId="0" xfId="0" applyFill="1" applyBorder="1" applyAlignment="1">
      <alignment horizontal="center" wrapText="1"/>
    </xf>
    <xf numFmtId="44" fontId="11" fillId="9" borderId="10" xfId="2" applyNumberFormat="1" applyBorder="1" applyAlignment="1">
      <alignment horizontal="right" vertical="center"/>
    </xf>
    <xf numFmtId="44" fontId="11" fillId="9" borderId="4" xfId="2" applyNumberFormat="1" applyBorder="1" applyAlignment="1">
      <alignment horizontal="right" vertical="center"/>
    </xf>
    <xf numFmtId="0" fontId="2" fillId="2" borderId="24" xfId="0" applyFont="1" applyFill="1" applyBorder="1" applyAlignment="1">
      <alignment horizontal="center" vertical="center"/>
    </xf>
    <xf numFmtId="0" fontId="0" fillId="3" borderId="0" xfId="0" applyFill="1" applyAlignment="1">
      <alignment horizontal="left" vertical="center" wrapText="1"/>
    </xf>
    <xf numFmtId="44" fontId="11" fillId="9" borderId="10" xfId="2" applyNumberFormat="1" applyBorder="1" applyAlignment="1">
      <alignment horizontal="center" vertical="center" wrapText="1"/>
    </xf>
    <xf numFmtId="0" fontId="15" fillId="12" borderId="28" xfId="5" applyFont="1" applyBorder="1" applyAlignment="1">
      <alignment horizontal="right"/>
    </xf>
    <xf numFmtId="0" fontId="15" fillId="12" borderId="29" xfId="5" applyFont="1" applyBorder="1" applyAlignment="1">
      <alignment horizontal="right"/>
    </xf>
    <xf numFmtId="0" fontId="7" fillId="5" borderId="0" xfId="0" applyFont="1" applyFill="1" applyAlignment="1">
      <alignment horizontal="left" vertical="center"/>
    </xf>
    <xf numFmtId="0" fontId="8" fillId="4" borderId="0" xfId="0" applyFont="1" applyFill="1" applyAlignment="1">
      <alignment horizontal="left" vertical="center"/>
    </xf>
    <xf numFmtId="0" fontId="0" fillId="14" borderId="14" xfId="0" applyFill="1" applyBorder="1" applyAlignment="1">
      <alignment horizontal="center" vertical="center"/>
    </xf>
    <xf numFmtId="0" fontId="0" fillId="14" borderId="9" xfId="0" applyFill="1" applyBorder="1" applyAlignment="1">
      <alignment horizontal="center" vertical="center"/>
    </xf>
    <xf numFmtId="0" fontId="0" fillId="14" borderId="12" xfId="0" applyFill="1" applyBorder="1" applyAlignment="1">
      <alignment horizontal="center" vertical="center"/>
    </xf>
  </cellXfs>
  <cellStyles count="8">
    <cellStyle name="40% - Accent2" xfId="4" builtinId="35"/>
    <cellStyle name="60% - Accent2" xfId="6" builtinId="36"/>
    <cellStyle name="60% - Accent6" xfId="5" builtinId="52"/>
    <cellStyle name="Bad" xfId="2" builtinId="27"/>
    <cellStyle name="Good" xfId="1" builtinId="26"/>
    <cellStyle name="Hyperlink" xfId="7" builtinId="8"/>
    <cellStyle name="Neutral" xfId="3" builtinId="28"/>
    <cellStyle name="Normal" xfId="0" builtinId="0"/>
  </cellStyles>
  <dxfs count="9">
    <dxf>
      <font>
        <strike val="0"/>
        <outline val="0"/>
        <shadow val="0"/>
        <u val="none"/>
        <vertAlign val="baseline"/>
        <name val="Calibri"/>
        <family val="2"/>
        <scheme val="minor"/>
      </font>
      <alignment horizontal="center" vertical="bottom" textRotation="0" wrapText="0" indent="0" justifyLastLine="0" shrinkToFit="0" readingOrder="0"/>
    </dxf>
    <dxf>
      <font>
        <strike val="0"/>
        <outline val="0"/>
        <shadow val="0"/>
        <u val="none"/>
        <vertAlign val="baseline"/>
        <name val="Calibri"/>
        <family val="2"/>
        <scheme val="minor"/>
      </font>
      <alignment horizontal="center" vertical="bottom" textRotation="0" wrapText="0" indent="0" justifyLastLine="0" shrinkToFit="0" readingOrder="0"/>
    </dxf>
    <dxf>
      <font>
        <strike val="0"/>
        <outline val="0"/>
        <shadow val="0"/>
        <u val="none"/>
        <vertAlign val="baseline"/>
        <name val="Calibri"/>
        <family val="2"/>
        <scheme val="minor"/>
      </font>
      <alignment horizontal="center" vertical="bottom" textRotation="0" wrapText="0" indent="0" justifyLastLine="0" shrinkToFit="0" readingOrder="0"/>
    </dxf>
    <dxf>
      <font>
        <strike val="0"/>
        <outline val="0"/>
        <shadow val="0"/>
        <u val="none"/>
        <vertAlign val="baseline"/>
        <name val="Calibri"/>
        <family val="2"/>
        <scheme val="minor"/>
      </font>
      <alignment horizontal="center" vertical="bottom" textRotation="0" wrapText="0" indent="0" justifyLastLine="0" shrinkToFit="0" readingOrder="0"/>
    </dxf>
    <dxf>
      <font>
        <strike val="0"/>
        <outline val="0"/>
        <shadow val="0"/>
        <u val="none"/>
        <vertAlign val="baseline"/>
        <name val="Calibri"/>
        <family val="2"/>
        <scheme val="minor"/>
      </font>
      <alignment horizontal="center" vertical="bottom" textRotation="0" wrapText="0" indent="0" justifyLastLine="0" shrinkToFit="0" readingOrder="0"/>
    </dxf>
    <dxf>
      <font>
        <strike val="0"/>
        <outline val="0"/>
        <shadow val="0"/>
        <u val="none"/>
        <vertAlign val="baseline"/>
        <name val="Calibri"/>
        <family val="2"/>
        <scheme val="minor"/>
      </font>
      <alignment horizontal="left" vertical="center" textRotation="0" indent="0" justifyLastLine="0" shrinkToFit="0" readingOrder="0"/>
    </dxf>
    <dxf>
      <font>
        <strike val="0"/>
        <outline val="0"/>
        <shadow val="0"/>
        <u val="none"/>
        <vertAlign val="baseline"/>
        <name val="Calibri"/>
        <family val="2"/>
        <scheme val="minor"/>
      </font>
      <numFmt numFmtId="30" formatCode="@"/>
      <protection locked="0" hidden="0"/>
    </dxf>
    <dxf>
      <font>
        <strike val="0"/>
        <outline val="0"/>
        <shadow val="0"/>
        <u val="none"/>
        <vertAlign val="baseline"/>
        <name val="Calibri"/>
        <family val="2"/>
        <scheme val="minor"/>
      </font>
      <numFmt numFmtId="30" formatCode="@"/>
      <protection locked="0" hidden="0"/>
    </dxf>
    <dxf>
      <font>
        <strike val="0"/>
        <outline val="0"/>
        <shadow val="0"/>
        <u val="none"/>
        <vertAlign val="baseline"/>
        <name val="Calibri"/>
        <family val="2"/>
        <scheme val="minor"/>
      </font>
      <numFmt numFmtId="30" formatCode="@"/>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E6A6671-615D-4ACC-992B-37372097FAAC}" name="Table13" displayName="Table13" ref="B5:B10" headerRowCount="0" totalsRowShown="0" headerRowDxfId="8" dataDxfId="7">
  <tableColumns count="1">
    <tableColumn id="2" xr3:uid="{6FFBC16A-B097-4A51-B226-2D107622CF02}" name="Column2" dataDxfId="6"/>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67FF84A-EBD8-45A6-AAEA-0B909C37880D}" name="Parameter" displayName="Parameter" ref="A3:D63" totalsRowShown="0" headerRowDxfId="5" dataDxfId="4">
  <autoFilter ref="A3:D63" xr:uid="{367FF84A-EBD8-45A6-AAEA-0B909C37880D}"/>
  <tableColumns count="4">
    <tableColumn id="1" xr3:uid="{D9EDC71E-F9EE-4592-9E95-3BDB4DCF249E}" name="Average Class Size" dataDxfId="3"/>
    <tableColumn id="2" xr3:uid="{B239391F-9DAF-4FDE-A981-3AC19E65E8F6}" name="Teacher" dataDxfId="2"/>
    <tableColumn id="3" xr3:uid="{830B3CC9-7F80-4CE1-A518-21C93ADE7F60}" name="Admin" dataDxfId="1"/>
    <tableColumn id="4" xr3:uid="{21A1ABBA-420B-4D00-A22F-C6F6F808E164}" name="Support" dataDxfId="0"/>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nysed.gov/nonpublic-schools/mandated-services-aid-msa-comprehensive-attendance-policy-cap"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C69DD-E325-4D2F-A2E1-1F0B5008AF19}">
  <dimension ref="A1:D14"/>
  <sheetViews>
    <sheetView topLeftCell="A5" zoomScaleNormal="100" workbookViewId="0">
      <selection activeCell="B7" sqref="B7"/>
    </sheetView>
  </sheetViews>
  <sheetFormatPr defaultRowHeight="15" x14ac:dyDescent="0.25"/>
  <cols>
    <col min="1" max="1" width="16.28515625" customWidth="1"/>
    <col min="2" max="2" width="130.7109375" customWidth="1"/>
    <col min="3" max="3" width="5.28515625" customWidth="1"/>
    <col min="4" max="4" width="62.140625" customWidth="1"/>
    <col min="5" max="5" width="41.42578125" customWidth="1"/>
  </cols>
  <sheetData>
    <row r="1" spans="1:4" ht="30" customHeight="1" x14ac:dyDescent="0.45">
      <c r="A1" s="201" t="s">
        <v>0</v>
      </c>
      <c r="B1" s="202"/>
      <c r="C1" s="202"/>
      <c r="D1" s="202"/>
    </row>
    <row r="2" spans="1:4" ht="20.25" customHeight="1" x14ac:dyDescent="0.35">
      <c r="A2" s="199" t="s">
        <v>1</v>
      </c>
      <c r="B2" s="200"/>
      <c r="C2" s="200"/>
      <c r="D2" s="200"/>
    </row>
    <row r="3" spans="1:4" s="72" customFormat="1" ht="15.75" x14ac:dyDescent="0.25">
      <c r="A3" s="71"/>
      <c r="B3" s="71" t="s">
        <v>2</v>
      </c>
      <c r="C3" s="197" t="s">
        <v>3</v>
      </c>
      <c r="D3" s="198"/>
    </row>
    <row r="4" spans="1:4" ht="45" x14ac:dyDescent="0.25">
      <c r="A4" s="99" t="s">
        <v>4</v>
      </c>
      <c r="B4" s="129" t="s">
        <v>5</v>
      </c>
      <c r="C4" s="97"/>
      <c r="D4" s="100" t="s">
        <v>6</v>
      </c>
    </row>
    <row r="5" spans="1:4" ht="60" x14ac:dyDescent="0.25">
      <c r="A5" s="98" t="s">
        <v>7</v>
      </c>
      <c r="B5" s="81" t="s">
        <v>8</v>
      </c>
      <c r="C5" s="48"/>
      <c r="D5" s="101" t="s">
        <v>9</v>
      </c>
    </row>
    <row r="6" spans="1:4" ht="60" x14ac:dyDescent="0.25">
      <c r="A6" s="99" t="s">
        <v>10</v>
      </c>
      <c r="B6" s="80" t="s">
        <v>11</v>
      </c>
      <c r="C6" s="65"/>
      <c r="D6" s="100" t="s">
        <v>12</v>
      </c>
    </row>
    <row r="7" spans="1:4" ht="45" x14ac:dyDescent="0.25">
      <c r="A7" s="98" t="s">
        <v>13</v>
      </c>
      <c r="B7" s="81" t="s">
        <v>14</v>
      </c>
      <c r="C7" s="103"/>
      <c r="D7" s="104" t="s">
        <v>15</v>
      </c>
    </row>
    <row r="8" spans="1:4" ht="60" x14ac:dyDescent="0.25">
      <c r="A8" s="99" t="s">
        <v>16</v>
      </c>
      <c r="B8" s="102" t="s">
        <v>17</v>
      </c>
      <c r="C8" s="193" t="s">
        <v>18</v>
      </c>
      <c r="D8" s="194" t="s">
        <v>19</v>
      </c>
    </row>
    <row r="9" spans="1:4" ht="75" x14ac:dyDescent="0.25">
      <c r="A9" s="98" t="s">
        <v>20</v>
      </c>
      <c r="B9" s="82" t="s">
        <v>21</v>
      </c>
      <c r="C9" s="195" t="s">
        <v>22</v>
      </c>
      <c r="D9" s="196"/>
    </row>
    <row r="14" spans="1:4" x14ac:dyDescent="0.25">
      <c r="B14" s="127"/>
    </row>
  </sheetData>
  <sheetProtection algorithmName="SHA-512" hashValue="6EUkGpvTOW6V46HSiD+BpaXx8fe4thZl+oEK7tXWMGSL6iXs4uQuVaoCYuWru0eFBgfb02BRD2MSA7P/D0NBIQ==" saltValue="z58jwm6og2MmYr1E+QKZwQ==" spinCount="100000" sheet="1" formatCells="0" formatColumns="0" formatRows="0" insertColumns="0" insertRows="0" insertHyperlinks="0" deleteColumns="0" deleteRows="0" sort="0" autoFilter="0" pivotTables="0"/>
  <mergeCells count="5">
    <mergeCell ref="C8:D8"/>
    <mergeCell ref="C9:D9"/>
    <mergeCell ref="C3:D3"/>
    <mergeCell ref="A2:D2"/>
    <mergeCell ref="A1:D1"/>
  </mergeCells>
  <hyperlinks>
    <hyperlink ref="B4" r:id="rId1" xr:uid="{ADA12CFE-3B90-4A95-8B4E-59AC16992A0D}"/>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48595-9212-4E3A-8699-387882AD18E8}">
  <dimension ref="A1:J17"/>
  <sheetViews>
    <sheetView zoomScaleNormal="100" workbookViewId="0">
      <selection activeCell="F18" sqref="F18"/>
    </sheetView>
  </sheetViews>
  <sheetFormatPr defaultRowHeight="15" x14ac:dyDescent="0.25"/>
  <cols>
    <col min="1" max="1" width="15" customWidth="1"/>
    <col min="2" max="2" width="42.140625" customWidth="1"/>
    <col min="3" max="3" width="24" bestFit="1" customWidth="1"/>
    <col min="4" max="4" width="17.28515625" bestFit="1" customWidth="1"/>
    <col min="5" max="5" width="20" customWidth="1"/>
    <col min="6" max="6" width="52.5703125" bestFit="1" customWidth="1"/>
  </cols>
  <sheetData>
    <row r="1" spans="1:10" ht="30" customHeight="1" x14ac:dyDescent="0.45">
      <c r="A1" s="202" t="s">
        <v>245</v>
      </c>
      <c r="B1" s="202"/>
      <c r="C1" s="202"/>
      <c r="D1" s="202"/>
      <c r="E1" s="202"/>
      <c r="F1" s="202"/>
    </row>
    <row r="2" spans="1:10" ht="18.75" x14ac:dyDescent="0.3">
      <c r="A2" s="281" t="s">
        <v>246</v>
      </c>
      <c r="B2" s="278"/>
      <c r="C2" s="278"/>
      <c r="D2" s="278"/>
      <c r="E2" s="278"/>
      <c r="F2" s="278"/>
    </row>
    <row r="3" spans="1:10" ht="21" x14ac:dyDescent="0.35">
      <c r="A3" s="200" t="s">
        <v>89</v>
      </c>
      <c r="B3" s="200"/>
      <c r="C3" s="200"/>
      <c r="D3" s="200"/>
      <c r="E3" s="200"/>
      <c r="F3" s="200"/>
    </row>
    <row r="4" spans="1:10" x14ac:dyDescent="0.25">
      <c r="A4" s="6" t="s">
        <v>90</v>
      </c>
      <c r="B4" s="7"/>
      <c r="C4" s="1" t="s">
        <v>154</v>
      </c>
      <c r="D4" s="1" t="s">
        <v>81</v>
      </c>
      <c r="E4" s="1" t="s">
        <v>82</v>
      </c>
      <c r="F4" s="1" t="s">
        <v>83</v>
      </c>
    </row>
    <row r="5" spans="1:10" ht="30" x14ac:dyDescent="0.25">
      <c r="A5" s="11">
        <v>1</v>
      </c>
      <c r="B5" s="22" t="s">
        <v>247</v>
      </c>
      <c r="C5" s="251" t="s">
        <v>189</v>
      </c>
      <c r="D5" s="170"/>
      <c r="E5" s="170"/>
      <c r="F5" s="11"/>
    </row>
    <row r="6" spans="1:10" ht="30" x14ac:dyDescent="0.25">
      <c r="A6" s="12">
        <v>2</v>
      </c>
      <c r="B6" s="23" t="s">
        <v>93</v>
      </c>
      <c r="C6" s="280"/>
      <c r="D6" s="170"/>
      <c r="E6" s="170"/>
      <c r="F6" s="12"/>
    </row>
    <row r="7" spans="1:10" ht="30" x14ac:dyDescent="0.25">
      <c r="A7" s="11">
        <v>3</v>
      </c>
      <c r="B7" s="22" t="s">
        <v>95</v>
      </c>
      <c r="C7" s="280"/>
      <c r="D7" s="172"/>
      <c r="E7" s="172"/>
      <c r="F7" s="11"/>
    </row>
    <row r="8" spans="1:10" ht="30" x14ac:dyDescent="0.25">
      <c r="A8" s="12">
        <v>4</v>
      </c>
      <c r="B8" s="23" t="s">
        <v>96</v>
      </c>
      <c r="C8" s="280"/>
      <c r="D8" s="173"/>
      <c r="E8" s="173"/>
      <c r="F8" s="12"/>
    </row>
    <row r="9" spans="1:10" ht="30" x14ac:dyDescent="0.25">
      <c r="A9" s="11">
        <v>5</v>
      </c>
      <c r="B9" s="21" t="s">
        <v>156</v>
      </c>
      <c r="C9" s="280"/>
      <c r="D9" s="50">
        <f>SUM(D7:D8)</f>
        <v>0</v>
      </c>
      <c r="E9" s="50">
        <f>SUM(E7:E8)</f>
        <v>0</v>
      </c>
      <c r="F9" s="11" t="s">
        <v>98</v>
      </c>
      <c r="J9" t="s">
        <v>94</v>
      </c>
    </row>
    <row r="10" spans="1:10" x14ac:dyDescent="0.25">
      <c r="A10" s="12">
        <v>6</v>
      </c>
      <c r="B10" s="23" t="s">
        <v>99</v>
      </c>
      <c r="C10" s="252"/>
      <c r="D10" s="50">
        <f>IFERROR(ROUND((D9/D6),2),0)</f>
        <v>0</v>
      </c>
      <c r="E10" s="50">
        <f>IFERROR(ROUND((E9/E6),2),0)</f>
        <v>0</v>
      </c>
      <c r="F10" s="36" t="s">
        <v>428</v>
      </c>
    </row>
    <row r="11" spans="1:10" ht="21" x14ac:dyDescent="0.35">
      <c r="A11" s="200" t="s">
        <v>157</v>
      </c>
      <c r="B11" s="200"/>
      <c r="C11" s="200"/>
      <c r="D11" s="200"/>
      <c r="E11" s="200"/>
      <c r="F11" s="200"/>
    </row>
    <row r="12" spans="1:10" ht="14.45" customHeight="1" x14ac:dyDescent="0.25">
      <c r="A12" s="29" t="s">
        <v>102</v>
      </c>
      <c r="B12" s="27" t="s">
        <v>248</v>
      </c>
      <c r="C12" s="27" t="s">
        <v>160</v>
      </c>
      <c r="D12" s="227" t="s">
        <v>439</v>
      </c>
      <c r="E12" s="227"/>
      <c r="F12" s="208" t="s">
        <v>83</v>
      </c>
    </row>
    <row r="13" spans="1:10" x14ac:dyDescent="0.25">
      <c r="A13" s="1" t="s">
        <v>107</v>
      </c>
      <c r="B13" s="27" t="s">
        <v>164</v>
      </c>
      <c r="C13" s="27" t="s">
        <v>174</v>
      </c>
      <c r="D13" s="282" t="s">
        <v>438</v>
      </c>
      <c r="E13" s="282"/>
      <c r="F13" s="208"/>
    </row>
    <row r="14" spans="1:10" x14ac:dyDescent="0.25">
      <c r="A14" s="15" t="s">
        <v>114</v>
      </c>
      <c r="B14" s="162">
        <v>18</v>
      </c>
      <c r="C14" s="43">
        <f>D10</f>
        <v>0</v>
      </c>
      <c r="D14" s="279">
        <f>ROUNDUP((B14*C14),0)</f>
        <v>0</v>
      </c>
      <c r="E14" s="279"/>
      <c r="F14" s="35" t="s">
        <v>249</v>
      </c>
    </row>
    <row r="15" spans="1:10" x14ac:dyDescent="0.25">
      <c r="A15" s="8" t="s">
        <v>115</v>
      </c>
      <c r="B15" s="162">
        <v>1</v>
      </c>
      <c r="C15" s="43">
        <f>E10</f>
        <v>0</v>
      </c>
      <c r="D15" s="279">
        <f>ROUNDUP((B15*C15),0)</f>
        <v>0</v>
      </c>
      <c r="E15" s="279"/>
      <c r="F15" s="57" t="s">
        <v>250</v>
      </c>
    </row>
    <row r="16" spans="1:10" ht="21.75" thickBot="1" x14ac:dyDescent="0.4">
      <c r="A16" s="200" t="s">
        <v>251</v>
      </c>
      <c r="B16" s="200"/>
      <c r="C16" s="200"/>
      <c r="D16" s="200"/>
      <c r="E16" s="200"/>
      <c r="F16" s="200"/>
    </row>
    <row r="17" spans="1:6" ht="21.75" thickBot="1" x14ac:dyDescent="0.4">
      <c r="A17" s="220" t="s">
        <v>252</v>
      </c>
      <c r="B17" s="220"/>
      <c r="C17" s="220"/>
      <c r="D17" s="220"/>
      <c r="E17" s="221"/>
      <c r="F17" s="63">
        <f>ROUNDUP((SUM(D14:E15)),0)</f>
        <v>0</v>
      </c>
    </row>
  </sheetData>
  <sheetProtection algorithmName="SHA-512" hashValue="I+wWHtrGmVBljY1m7AX9yN0KHsaM7+fxMk49CoG2SvIs0wtCyw7EWV1WGK2QVy5k+Wyg5pCmkMjWMI6TxCRafg==" saltValue="zmMnCe/yTmeRdbobEYglFQ==" spinCount="100000" sheet="1" objects="1" scenarios="1" formatCells="0" formatColumns="0" formatRows="0" insertColumns="0" insertRows="0" insertHyperlinks="0" deleteColumns="0" deleteRows="0"/>
  <mergeCells count="12">
    <mergeCell ref="F12:F13"/>
    <mergeCell ref="A16:F16"/>
    <mergeCell ref="A17:E17"/>
    <mergeCell ref="A1:F1"/>
    <mergeCell ref="D14:E14"/>
    <mergeCell ref="D15:E15"/>
    <mergeCell ref="A11:F11"/>
    <mergeCell ref="A3:F3"/>
    <mergeCell ref="C5:C10"/>
    <mergeCell ref="A2:F2"/>
    <mergeCell ref="D12:E12"/>
    <mergeCell ref="D13:E13"/>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B97CDF-1589-4B9D-B7FF-F5CA6A49D919}">
  <dimension ref="A1:F29"/>
  <sheetViews>
    <sheetView zoomScaleNormal="100" workbookViewId="0">
      <selection activeCell="C8" sqref="C8"/>
    </sheetView>
  </sheetViews>
  <sheetFormatPr defaultRowHeight="15" x14ac:dyDescent="0.25"/>
  <cols>
    <col min="1" max="1" width="7.42578125" customWidth="1"/>
    <col min="2" max="2" width="85" customWidth="1"/>
    <col min="3" max="3" width="30.42578125" customWidth="1"/>
  </cols>
  <sheetData>
    <row r="1" spans="1:6" ht="30" customHeight="1" x14ac:dyDescent="0.45">
      <c r="A1" s="202" t="s">
        <v>253</v>
      </c>
      <c r="B1" s="202"/>
      <c r="C1" s="202"/>
    </row>
    <row r="2" spans="1:6" ht="21" x14ac:dyDescent="0.35">
      <c r="A2" s="200" t="s">
        <v>231</v>
      </c>
      <c r="B2" s="200"/>
      <c r="C2" s="200"/>
    </row>
    <row r="3" spans="1:6" ht="18.75" x14ac:dyDescent="0.3">
      <c r="A3" s="278" t="s">
        <v>254</v>
      </c>
      <c r="B3" s="278"/>
      <c r="C3" s="278"/>
    </row>
    <row r="4" spans="1:6" x14ac:dyDescent="0.25">
      <c r="A4" s="6"/>
      <c r="B4" s="7"/>
      <c r="C4" s="1"/>
    </row>
    <row r="5" spans="1:6" ht="15" customHeight="1" x14ac:dyDescent="0.25">
      <c r="A5" s="11">
        <v>1</v>
      </c>
      <c r="B5" s="22" t="s">
        <v>255</v>
      </c>
      <c r="C5" s="179"/>
    </row>
    <row r="6" spans="1:6" x14ac:dyDescent="0.25">
      <c r="A6" s="12">
        <v>2</v>
      </c>
      <c r="B6" s="23" t="s">
        <v>256</v>
      </c>
      <c r="C6" s="43">
        <v>4.5</v>
      </c>
    </row>
    <row r="7" spans="1:6" ht="21.75" thickBot="1" x14ac:dyDescent="0.4">
      <c r="A7" s="200" t="s">
        <v>257</v>
      </c>
      <c r="B7" s="200"/>
      <c r="C7" s="200"/>
      <c r="F7" t="s">
        <v>94</v>
      </c>
    </row>
    <row r="8" spans="1:6" ht="19.5" thickBot="1" x14ac:dyDescent="0.35">
      <c r="A8" s="220" t="s">
        <v>258</v>
      </c>
      <c r="B8" s="220"/>
      <c r="C8" s="62">
        <f>ROUNDUP((C5*C6),0)</f>
        <v>0</v>
      </c>
    </row>
    <row r="29" spans="5:5" x14ac:dyDescent="0.25">
      <c r="E29" s="56"/>
    </row>
  </sheetData>
  <sheetProtection algorithmName="SHA-512" hashValue="z2EbR5d2PJ+PFUGZYJj1zBVizXbYOEqjVXg+dctwAPPEVecaX44HXhSrhzLSkgxwyLMbmDNhJyM5/g91EpP47A==" saltValue="lg7A/XIvdDJ9byds9Qfr4A==" spinCount="100000" sheet="1" objects="1" scenarios="1" formatCells="0" formatColumns="0" formatRows="0" insertColumns="0" insertRows="0" insertHyperlinks="0" deleteColumns="0" deleteRows="0" sort="0"/>
  <mergeCells count="5">
    <mergeCell ref="A1:C1"/>
    <mergeCell ref="A2:C2"/>
    <mergeCell ref="A7:C7"/>
    <mergeCell ref="A8:B8"/>
    <mergeCell ref="A3:C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617A1-185D-4B7D-95F3-06BFBC70374C}">
  <dimension ref="A1:L28"/>
  <sheetViews>
    <sheetView zoomScaleNormal="100" workbookViewId="0">
      <selection activeCell="F22" sqref="F22"/>
    </sheetView>
  </sheetViews>
  <sheetFormatPr defaultRowHeight="15" x14ac:dyDescent="0.25"/>
  <cols>
    <col min="1" max="1" width="18.28515625" customWidth="1"/>
    <col min="2" max="2" width="68.7109375" customWidth="1"/>
    <col min="3" max="3" width="23.5703125" bestFit="1" customWidth="1"/>
    <col min="4" max="4" width="16.85546875" bestFit="1" customWidth="1"/>
    <col min="5" max="5" width="14.85546875" bestFit="1" customWidth="1"/>
    <col min="6" max="6" width="52.5703125" bestFit="1" customWidth="1"/>
  </cols>
  <sheetData>
    <row r="1" spans="1:12" ht="30" customHeight="1" x14ac:dyDescent="0.45">
      <c r="A1" s="202" t="s">
        <v>259</v>
      </c>
      <c r="B1" s="202"/>
      <c r="C1" s="202"/>
      <c r="D1" s="202"/>
      <c r="E1" s="202"/>
      <c r="F1" s="202"/>
    </row>
    <row r="2" spans="1:12" ht="20.25" customHeight="1" x14ac:dyDescent="0.35">
      <c r="A2" s="200" t="s">
        <v>260</v>
      </c>
      <c r="B2" s="200"/>
      <c r="C2" s="200"/>
      <c r="D2" s="200"/>
      <c r="E2" s="200"/>
      <c r="F2" s="200"/>
    </row>
    <row r="3" spans="1:12" x14ac:dyDescent="0.25">
      <c r="A3" s="208" t="s">
        <v>119</v>
      </c>
      <c r="B3" s="27" t="s">
        <v>261</v>
      </c>
      <c r="C3" s="227" t="s">
        <v>262</v>
      </c>
      <c r="D3" s="227" t="s">
        <v>263</v>
      </c>
      <c r="E3" s="227"/>
      <c r="F3" s="208" t="s">
        <v>83</v>
      </c>
    </row>
    <row r="4" spans="1:12" x14ac:dyDescent="0.25">
      <c r="A4" s="208"/>
      <c r="B4" s="27" t="s">
        <v>440</v>
      </c>
      <c r="C4" s="227"/>
      <c r="D4" s="208" t="s">
        <v>441</v>
      </c>
      <c r="E4" s="208"/>
      <c r="F4" s="208"/>
    </row>
    <row r="5" spans="1:12" x14ac:dyDescent="0.25">
      <c r="A5" s="11" t="s">
        <v>265</v>
      </c>
      <c r="B5" s="171"/>
      <c r="C5" s="162">
        <v>1</v>
      </c>
      <c r="D5" s="283">
        <f>B5*C5</f>
        <v>0</v>
      </c>
      <c r="E5" s="283"/>
      <c r="F5" s="95"/>
    </row>
    <row r="6" spans="1:12" ht="21" x14ac:dyDescent="0.35">
      <c r="A6" s="200" t="s">
        <v>266</v>
      </c>
      <c r="B6" s="200"/>
      <c r="C6" s="200"/>
      <c r="D6" s="200"/>
      <c r="E6" s="200"/>
      <c r="F6" s="200"/>
    </row>
    <row r="7" spans="1:12" x14ac:dyDescent="0.25">
      <c r="A7" s="6" t="s">
        <v>90</v>
      </c>
      <c r="B7" s="7"/>
      <c r="C7" s="1" t="s">
        <v>154</v>
      </c>
      <c r="D7" s="1" t="s">
        <v>81</v>
      </c>
      <c r="E7" s="1" t="s">
        <v>82</v>
      </c>
      <c r="F7" s="1" t="s">
        <v>83</v>
      </c>
    </row>
    <row r="8" spans="1:12" ht="30" x14ac:dyDescent="0.25">
      <c r="A8" s="11">
        <v>1</v>
      </c>
      <c r="B8" s="22" t="s">
        <v>267</v>
      </c>
      <c r="C8" s="170"/>
      <c r="D8" s="170"/>
      <c r="E8" s="170"/>
      <c r="F8" s="11"/>
    </row>
    <row r="9" spans="1:12" ht="30" x14ac:dyDescent="0.25">
      <c r="A9" s="12">
        <v>2</v>
      </c>
      <c r="B9" s="23" t="s">
        <v>93</v>
      </c>
      <c r="C9" s="170"/>
      <c r="D9" s="170"/>
      <c r="E9" s="170"/>
      <c r="F9" s="12"/>
    </row>
    <row r="10" spans="1:12" ht="30" x14ac:dyDescent="0.25">
      <c r="A10" s="11">
        <v>3</v>
      </c>
      <c r="B10" s="22" t="s">
        <v>95</v>
      </c>
      <c r="C10" s="172"/>
      <c r="D10" s="172"/>
      <c r="E10" s="172"/>
      <c r="F10" s="11"/>
    </row>
    <row r="11" spans="1:12" x14ac:dyDescent="0.25">
      <c r="A11" s="12">
        <v>4</v>
      </c>
      <c r="B11" s="23" t="s">
        <v>96</v>
      </c>
      <c r="C11" s="173"/>
      <c r="D11" s="173"/>
      <c r="E11" s="173"/>
      <c r="F11" s="12"/>
    </row>
    <row r="12" spans="1:12" x14ac:dyDescent="0.25">
      <c r="A12" s="11">
        <v>5</v>
      </c>
      <c r="B12" s="21" t="s">
        <v>97</v>
      </c>
      <c r="C12" s="50">
        <f>SUM(C10:C11)</f>
        <v>0</v>
      </c>
      <c r="D12" s="50">
        <f>SUM(D10:D11)</f>
        <v>0</v>
      </c>
      <c r="E12" s="50">
        <f>SUM(E10:E11)</f>
        <v>0</v>
      </c>
      <c r="F12" s="11" t="s">
        <v>98</v>
      </c>
      <c r="L12" t="s">
        <v>94</v>
      </c>
    </row>
    <row r="13" spans="1:12" x14ac:dyDescent="0.25">
      <c r="A13" s="12">
        <v>6</v>
      </c>
      <c r="B13" s="23" t="s">
        <v>99</v>
      </c>
      <c r="C13" s="50">
        <f>IFERROR(ROUND((C12/C9),2),0)</f>
        <v>0</v>
      </c>
      <c r="D13" s="50">
        <f>IFERROR(ROUND((D12/D9),2),0)</f>
        <v>0</v>
      </c>
      <c r="E13" s="50">
        <f>IFERROR(ROUND((E12/E9),2),0)</f>
        <v>0</v>
      </c>
      <c r="F13" s="36" t="s">
        <v>428</v>
      </c>
    </row>
    <row r="14" spans="1:12" ht="21" x14ac:dyDescent="0.35">
      <c r="A14" s="200" t="s">
        <v>157</v>
      </c>
      <c r="B14" s="200"/>
      <c r="C14" s="200"/>
      <c r="D14" s="200"/>
      <c r="E14" s="200"/>
      <c r="F14" s="200"/>
    </row>
    <row r="15" spans="1:12" x14ac:dyDescent="0.25">
      <c r="A15" s="29" t="s">
        <v>102</v>
      </c>
      <c r="B15" s="27" t="s">
        <v>159</v>
      </c>
      <c r="C15" s="27" t="s">
        <v>160</v>
      </c>
      <c r="D15" s="227" t="s">
        <v>161</v>
      </c>
      <c r="E15" s="227"/>
      <c r="F15" s="208" t="s">
        <v>83</v>
      </c>
    </row>
    <row r="16" spans="1:12" ht="30" x14ac:dyDescent="0.25">
      <c r="A16" s="29" t="s">
        <v>107</v>
      </c>
      <c r="B16" s="27" t="s">
        <v>164</v>
      </c>
      <c r="C16" s="27" t="s">
        <v>174</v>
      </c>
      <c r="D16" s="227" t="s">
        <v>438</v>
      </c>
      <c r="E16" s="227"/>
      <c r="F16" s="208"/>
    </row>
    <row r="17" spans="1:6" ht="15" customHeight="1" x14ac:dyDescent="0.25">
      <c r="A17" s="24" t="s">
        <v>113</v>
      </c>
      <c r="B17" s="119">
        <f>D5</f>
        <v>0</v>
      </c>
      <c r="C17" s="49">
        <f>C13</f>
        <v>0</v>
      </c>
      <c r="D17" s="279">
        <f>ROUNDUP((B17*C17),0)</f>
        <v>0</v>
      </c>
      <c r="E17" s="279"/>
      <c r="F17" s="51" t="s">
        <v>268</v>
      </c>
    </row>
    <row r="18" spans="1:6" ht="15" customHeight="1" x14ac:dyDescent="0.25">
      <c r="A18" s="15" t="s">
        <v>215</v>
      </c>
      <c r="B18" s="162">
        <v>1</v>
      </c>
      <c r="C18" s="49">
        <f>D13</f>
        <v>0</v>
      </c>
      <c r="D18" s="279">
        <f>ROUNDUP((B18*C18),0)</f>
        <v>0</v>
      </c>
      <c r="E18" s="279"/>
      <c r="F18" s="58" t="s">
        <v>269</v>
      </c>
    </row>
    <row r="19" spans="1:6" ht="15" customHeight="1" x14ac:dyDescent="0.25">
      <c r="A19" s="8" t="s">
        <v>217</v>
      </c>
      <c r="B19" s="162">
        <v>1</v>
      </c>
      <c r="C19" s="49">
        <f>E13</f>
        <v>0</v>
      </c>
      <c r="D19" s="279">
        <f>ROUNDUP((B19*C19),0)</f>
        <v>0</v>
      </c>
      <c r="E19" s="279"/>
      <c r="F19" s="51" t="s">
        <v>269</v>
      </c>
    </row>
    <row r="20" spans="1:6" ht="21.75" thickBot="1" x14ac:dyDescent="0.4">
      <c r="A20" s="200" t="s">
        <v>270</v>
      </c>
      <c r="B20" s="200"/>
      <c r="C20" s="200"/>
      <c r="D20" s="200"/>
      <c r="E20" s="200"/>
      <c r="F20" s="200"/>
    </row>
    <row r="21" spans="1:6" ht="19.5" thickBot="1" x14ac:dyDescent="0.35">
      <c r="A21" s="220" t="s">
        <v>271</v>
      </c>
      <c r="B21" s="220"/>
      <c r="C21" s="220"/>
      <c r="D21" s="220"/>
      <c r="E21" s="221"/>
      <c r="F21" s="40">
        <f>ROUNDUP((SUM(D17:D19)),0)</f>
        <v>0</v>
      </c>
    </row>
    <row r="28" spans="1:6" x14ac:dyDescent="0.25">
      <c r="D28" t="s">
        <v>94</v>
      </c>
    </row>
  </sheetData>
  <sheetProtection algorithmName="SHA-512" hashValue="wXuGu8f0fN5aEXcoEd4KZtLK9EfaBeOuGNRIZz5l9OXwhSH+lMcuioQTEkqKIN7mXuoi2BmwrlCafrcqAFvydg==" saltValue="VgPPYdShxv9aUzx1Ccvo3A==" spinCount="100000" sheet="1" objects="1" scenarios="1" formatCells="0" formatColumns="0" formatRows="0" insertColumns="0" insertRows="0" insertHyperlinks="0" deleteColumns="0" deleteRows="0" sort="0"/>
  <mergeCells count="18">
    <mergeCell ref="A20:F20"/>
    <mergeCell ref="A21:E21"/>
    <mergeCell ref="A2:F2"/>
    <mergeCell ref="D5:E5"/>
    <mergeCell ref="D15:E15"/>
    <mergeCell ref="D16:E16"/>
    <mergeCell ref="D17:E17"/>
    <mergeCell ref="D18:E18"/>
    <mergeCell ref="D19:E19"/>
    <mergeCell ref="F15:F16"/>
    <mergeCell ref="F3:F4"/>
    <mergeCell ref="A3:A4"/>
    <mergeCell ref="C3:C4"/>
    <mergeCell ref="D3:E3"/>
    <mergeCell ref="D4:E4"/>
    <mergeCell ref="A1:F1"/>
    <mergeCell ref="A6:F6"/>
    <mergeCell ref="A14:F14"/>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F7DB2C-1198-4161-BC00-E22BDD2AC2C5}">
  <dimension ref="A1:F21"/>
  <sheetViews>
    <sheetView zoomScaleNormal="100" workbookViewId="0">
      <selection activeCell="A20" sqref="A20:F20"/>
    </sheetView>
  </sheetViews>
  <sheetFormatPr defaultRowHeight="15" x14ac:dyDescent="0.25"/>
  <cols>
    <col min="1" max="1" width="15.85546875" customWidth="1"/>
    <col min="2" max="2" width="44" customWidth="1"/>
    <col min="3" max="3" width="23.5703125" bestFit="1" customWidth="1"/>
    <col min="4" max="4" width="21.42578125" bestFit="1" customWidth="1"/>
    <col min="5" max="5" width="29.5703125" bestFit="1" customWidth="1"/>
    <col min="6" max="6" width="52.5703125" bestFit="1" customWidth="1"/>
  </cols>
  <sheetData>
    <row r="1" spans="1:6" ht="30" customHeight="1" x14ac:dyDescent="0.45">
      <c r="A1" s="202" t="s">
        <v>272</v>
      </c>
      <c r="B1" s="202"/>
      <c r="C1" s="202"/>
      <c r="D1" s="202"/>
      <c r="E1" s="202"/>
      <c r="F1" s="202"/>
    </row>
    <row r="2" spans="1:6" ht="18.75" x14ac:dyDescent="0.3">
      <c r="A2" s="278" t="s">
        <v>273</v>
      </c>
      <c r="B2" s="278"/>
      <c r="C2" s="278"/>
      <c r="D2" s="278"/>
      <c r="E2" s="278"/>
      <c r="F2" s="278"/>
    </row>
    <row r="3" spans="1:6" ht="21" x14ac:dyDescent="0.35">
      <c r="A3" s="200" t="s">
        <v>274</v>
      </c>
      <c r="B3" s="200"/>
      <c r="C3" s="200"/>
      <c r="D3" s="200"/>
      <c r="E3" s="200"/>
      <c r="F3" s="200"/>
    </row>
    <row r="4" spans="1:6" x14ac:dyDescent="0.25">
      <c r="A4" s="260" t="s">
        <v>275</v>
      </c>
      <c r="B4" s="260"/>
      <c r="C4" s="260"/>
      <c r="D4" s="260"/>
      <c r="E4" s="260"/>
      <c r="F4" s="182"/>
    </row>
    <row r="5" spans="1:6" ht="21" x14ac:dyDescent="0.35">
      <c r="A5" s="200" t="s">
        <v>266</v>
      </c>
      <c r="B5" s="200"/>
      <c r="C5" s="200"/>
      <c r="D5" s="200"/>
      <c r="E5" s="200"/>
      <c r="F5" s="200"/>
    </row>
    <row r="6" spans="1:6" x14ac:dyDescent="0.25">
      <c r="A6" s="6" t="s">
        <v>90</v>
      </c>
      <c r="B6" s="7"/>
      <c r="C6" s="1" t="s">
        <v>154</v>
      </c>
      <c r="D6" s="1" t="s">
        <v>81</v>
      </c>
      <c r="E6" s="1" t="s">
        <v>82</v>
      </c>
      <c r="F6" s="1" t="s">
        <v>83</v>
      </c>
    </row>
    <row r="7" spans="1:6" ht="30" x14ac:dyDescent="0.25">
      <c r="A7" s="11">
        <v>1</v>
      </c>
      <c r="B7" s="22" t="s">
        <v>276</v>
      </c>
      <c r="C7" s="251" t="s">
        <v>189</v>
      </c>
      <c r="D7" s="171"/>
      <c r="E7" s="171"/>
      <c r="F7" s="11"/>
    </row>
    <row r="8" spans="1:6" ht="30" x14ac:dyDescent="0.25">
      <c r="A8" s="12">
        <v>2</v>
      </c>
      <c r="B8" s="23" t="s">
        <v>93</v>
      </c>
      <c r="C8" s="280"/>
      <c r="D8" s="171"/>
      <c r="E8" s="171"/>
      <c r="F8" s="12"/>
    </row>
    <row r="9" spans="1:6" ht="30" x14ac:dyDescent="0.25">
      <c r="A9" s="11">
        <v>3</v>
      </c>
      <c r="B9" s="22" t="s">
        <v>95</v>
      </c>
      <c r="C9" s="280"/>
      <c r="D9" s="183"/>
      <c r="E9" s="184"/>
      <c r="F9" s="11"/>
    </row>
    <row r="10" spans="1:6" ht="30" x14ac:dyDescent="0.25">
      <c r="A10" s="12">
        <v>4</v>
      </c>
      <c r="B10" s="23" t="s">
        <v>96</v>
      </c>
      <c r="C10" s="280"/>
      <c r="D10" s="185"/>
      <c r="E10" s="186"/>
      <c r="F10" s="12"/>
    </row>
    <row r="11" spans="1:6" ht="30" x14ac:dyDescent="0.25">
      <c r="A11" s="11">
        <v>5</v>
      </c>
      <c r="B11" s="21" t="s">
        <v>156</v>
      </c>
      <c r="C11" s="280"/>
      <c r="D11" s="50">
        <f>SUM(D9:D10)</f>
        <v>0</v>
      </c>
      <c r="E11" s="50">
        <f>SUM(E9:E10)</f>
        <v>0</v>
      </c>
      <c r="F11" s="11" t="s">
        <v>98</v>
      </c>
    </row>
    <row r="12" spans="1:6" x14ac:dyDescent="0.25">
      <c r="A12" s="12">
        <v>6</v>
      </c>
      <c r="B12" s="23" t="s">
        <v>99</v>
      </c>
      <c r="C12" s="252"/>
      <c r="D12" s="50">
        <f>IFERROR(ROUND((D11/D8),2),0)</f>
        <v>0</v>
      </c>
      <c r="E12" s="50">
        <f>IFERROR(ROUND((E11/E8),2),0)</f>
        <v>0</v>
      </c>
      <c r="F12" s="36" t="s">
        <v>428</v>
      </c>
    </row>
    <row r="13" spans="1:6" ht="21" x14ac:dyDescent="0.35">
      <c r="A13" s="200" t="s">
        <v>157</v>
      </c>
      <c r="B13" s="200"/>
      <c r="C13" s="200"/>
      <c r="D13" s="200"/>
      <c r="E13" s="200"/>
      <c r="F13" s="200"/>
    </row>
    <row r="14" spans="1:6" ht="30" x14ac:dyDescent="0.25">
      <c r="A14" s="29" t="s">
        <v>102</v>
      </c>
      <c r="B14" s="27" t="s">
        <v>185</v>
      </c>
      <c r="C14" s="27" t="s">
        <v>160</v>
      </c>
      <c r="D14" s="27" t="s">
        <v>161</v>
      </c>
      <c r="E14" s="27" t="s">
        <v>277</v>
      </c>
      <c r="F14" s="208" t="s">
        <v>83</v>
      </c>
    </row>
    <row r="15" spans="1:6" ht="30" x14ac:dyDescent="0.25">
      <c r="A15" s="29" t="s">
        <v>107</v>
      </c>
      <c r="B15" s="27" t="s">
        <v>164</v>
      </c>
      <c r="C15" s="27" t="s">
        <v>174</v>
      </c>
      <c r="D15" s="27" t="s">
        <v>109</v>
      </c>
      <c r="E15" s="27" t="s">
        <v>166</v>
      </c>
      <c r="F15" s="208"/>
    </row>
    <row r="16" spans="1:6" x14ac:dyDescent="0.25">
      <c r="A16" s="15" t="s">
        <v>215</v>
      </c>
      <c r="B16" s="113">
        <v>1</v>
      </c>
      <c r="C16" s="49">
        <f>D12</f>
        <v>0</v>
      </c>
      <c r="D16" s="88">
        <f>ROUNDUP((B16*C16),0)</f>
        <v>0</v>
      </c>
      <c r="E16" s="285">
        <f>IF((SUM(D16:D17))=0,0,10)</f>
        <v>0</v>
      </c>
      <c r="F16" s="58" t="s">
        <v>278</v>
      </c>
    </row>
    <row r="17" spans="1:6" x14ac:dyDescent="0.25">
      <c r="A17" s="8" t="s">
        <v>217</v>
      </c>
      <c r="B17" s="114">
        <v>6</v>
      </c>
      <c r="C17" s="55">
        <f>E12</f>
        <v>0</v>
      </c>
      <c r="D17" s="88">
        <f>ROUNDUP((B17*C17),0)</f>
        <v>0</v>
      </c>
      <c r="E17" s="286"/>
      <c r="F17" s="35" t="s">
        <v>279</v>
      </c>
    </row>
    <row r="18" spans="1:6" ht="21.75" thickBot="1" x14ac:dyDescent="0.4">
      <c r="A18" s="200" t="s">
        <v>280</v>
      </c>
      <c r="B18" s="200"/>
      <c r="C18" s="200"/>
      <c r="D18" s="200"/>
      <c r="E18" s="200"/>
      <c r="F18" s="200"/>
    </row>
    <row r="19" spans="1:6" ht="19.5" thickBot="1" x14ac:dyDescent="0.35">
      <c r="A19" s="220" t="s">
        <v>281</v>
      </c>
      <c r="B19" s="220"/>
      <c r="C19" s="220"/>
      <c r="D19" s="220"/>
      <c r="E19" s="221"/>
      <c r="F19" s="40">
        <f>ROUNDUP((SUM(D16:D17) + E16),0)</f>
        <v>0</v>
      </c>
    </row>
    <row r="20" spans="1:6" ht="21" x14ac:dyDescent="0.35">
      <c r="A20" s="200" t="s">
        <v>472</v>
      </c>
      <c r="B20" s="200"/>
      <c r="C20" s="200"/>
      <c r="D20" s="200"/>
      <c r="E20" s="200"/>
      <c r="F20" s="200"/>
    </row>
    <row r="21" spans="1:6" ht="45" customHeight="1" x14ac:dyDescent="0.25">
      <c r="A21" s="284" t="s">
        <v>473</v>
      </c>
      <c r="B21" s="284"/>
      <c r="C21" s="284"/>
      <c r="D21" s="284"/>
      <c r="E21" s="284"/>
      <c r="F21" s="284"/>
    </row>
  </sheetData>
  <sheetProtection algorithmName="SHA-512" hashValue="MTOLeZIzAuxCcVrdYZkhyuDIZqwT8MpOeVC6h70AfRMm4oTvfHLHbz7t3fsFYjAJ/4gUN0VyldGNKzaX9VyU3w==" saltValue="WLAKP8XNCy2DN4yVbJ0Xuw==" spinCount="100000" sheet="1" objects="1" scenarios="1" formatCells="0" formatColumns="0" formatRows="0" insertColumns="0" insertRows="0" insertHyperlinks="0" deleteColumns="0" deleteRows="0" sort="0"/>
  <mergeCells count="13">
    <mergeCell ref="A21:F21"/>
    <mergeCell ref="A19:E19"/>
    <mergeCell ref="E16:E17"/>
    <mergeCell ref="A5:F5"/>
    <mergeCell ref="A1:F1"/>
    <mergeCell ref="A13:F13"/>
    <mergeCell ref="F14:F15"/>
    <mergeCell ref="A18:F18"/>
    <mergeCell ref="A3:F3"/>
    <mergeCell ref="A4:E4"/>
    <mergeCell ref="C7:C12"/>
    <mergeCell ref="A2:F2"/>
    <mergeCell ref="A20:F20"/>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20BBA-22B9-4D30-AB88-85627C5A75FF}">
  <dimension ref="A1:L33"/>
  <sheetViews>
    <sheetView zoomScaleNormal="100" workbookViewId="0">
      <selection activeCell="E18" sqref="E18:E20"/>
    </sheetView>
  </sheetViews>
  <sheetFormatPr defaultRowHeight="15" x14ac:dyDescent="0.25"/>
  <cols>
    <col min="1" max="1" width="21.28515625" customWidth="1"/>
    <col min="2" max="2" width="46.5703125" customWidth="1"/>
    <col min="3" max="3" width="23.5703125" bestFit="1" customWidth="1"/>
    <col min="4" max="4" width="21.42578125" bestFit="1" customWidth="1"/>
    <col min="5" max="5" width="45" bestFit="1" customWidth="1"/>
    <col min="6" max="6" width="48.7109375" bestFit="1" customWidth="1"/>
  </cols>
  <sheetData>
    <row r="1" spans="1:12" ht="30" customHeight="1" x14ac:dyDescent="0.45">
      <c r="A1" s="202" t="s">
        <v>282</v>
      </c>
      <c r="B1" s="202"/>
      <c r="C1" s="202"/>
      <c r="D1" s="202"/>
      <c r="E1" s="202"/>
      <c r="F1" s="202"/>
    </row>
    <row r="2" spans="1:12" ht="20.25" customHeight="1" x14ac:dyDescent="0.35">
      <c r="A2" s="33" t="s">
        <v>283</v>
      </c>
      <c r="B2" s="33"/>
      <c r="C2" s="33"/>
      <c r="D2" s="33"/>
      <c r="E2" s="33"/>
      <c r="F2" s="33"/>
    </row>
    <row r="3" spans="1:12" x14ac:dyDescent="0.25">
      <c r="A3" s="208" t="s">
        <v>119</v>
      </c>
      <c r="B3" s="208"/>
      <c r="C3" s="29" t="s">
        <v>284</v>
      </c>
      <c r="D3" s="29" t="s">
        <v>121</v>
      </c>
      <c r="E3" s="27" t="s">
        <v>263</v>
      </c>
      <c r="F3" s="227" t="s">
        <v>123</v>
      </c>
    </row>
    <row r="4" spans="1:12" x14ac:dyDescent="0.25">
      <c r="A4" s="208"/>
      <c r="B4" s="208"/>
      <c r="C4" s="29"/>
      <c r="D4" s="29" t="s">
        <v>124</v>
      </c>
      <c r="E4" s="29" t="s">
        <v>264</v>
      </c>
      <c r="F4" s="208"/>
    </row>
    <row r="5" spans="1:12" x14ac:dyDescent="0.25">
      <c r="A5" s="288" t="s">
        <v>285</v>
      </c>
      <c r="B5" s="289"/>
      <c r="C5" s="171"/>
      <c r="D5" s="93">
        <v>0.47</v>
      </c>
      <c r="E5" s="119">
        <f>IF(C5=0,0,(IF((SUM(C5*D5)&lt;5),5,(SUM(C5*D5)))))</f>
        <v>0</v>
      </c>
      <c r="F5" s="124">
        <v>5</v>
      </c>
    </row>
    <row r="6" spans="1:12" x14ac:dyDescent="0.25">
      <c r="A6" s="288" t="s">
        <v>286</v>
      </c>
      <c r="B6" s="289"/>
      <c r="C6" s="171"/>
      <c r="D6" s="93">
        <v>0.53</v>
      </c>
      <c r="E6" s="119">
        <f>IF(C6=0,0,(IF((SUM(C6*D6)&lt;6),6,(SUM(C6*D6)))))</f>
        <v>0</v>
      </c>
      <c r="F6" s="46">
        <v>6</v>
      </c>
    </row>
    <row r="7" spans="1:12" ht="21" x14ac:dyDescent="0.35">
      <c r="A7" s="200" t="s">
        <v>266</v>
      </c>
      <c r="B7" s="200"/>
      <c r="C7" s="200"/>
      <c r="D7" s="200"/>
      <c r="E7" s="200"/>
      <c r="F7" s="200"/>
    </row>
    <row r="8" spans="1:12" x14ac:dyDescent="0.25">
      <c r="A8" s="6" t="s">
        <v>90</v>
      </c>
      <c r="B8" s="7"/>
      <c r="C8" s="1" t="s">
        <v>154</v>
      </c>
      <c r="D8" s="1" t="s">
        <v>81</v>
      </c>
      <c r="E8" s="1" t="s">
        <v>82</v>
      </c>
      <c r="F8" s="1" t="s">
        <v>83</v>
      </c>
    </row>
    <row r="9" spans="1:12" ht="30" x14ac:dyDescent="0.25">
      <c r="A9" s="11">
        <v>1</v>
      </c>
      <c r="B9" s="22" t="s">
        <v>287</v>
      </c>
      <c r="C9" s="170"/>
      <c r="D9" s="170"/>
      <c r="E9" s="170"/>
      <c r="F9" s="11"/>
    </row>
    <row r="10" spans="1:12" ht="30" x14ac:dyDescent="0.25">
      <c r="A10" s="12">
        <v>2</v>
      </c>
      <c r="B10" s="23" t="s">
        <v>93</v>
      </c>
      <c r="C10" s="170"/>
      <c r="D10" s="170"/>
      <c r="E10" s="170"/>
      <c r="F10" s="12"/>
    </row>
    <row r="11" spans="1:12" ht="30" x14ac:dyDescent="0.25">
      <c r="A11" s="11">
        <v>3</v>
      </c>
      <c r="B11" s="22" t="s">
        <v>95</v>
      </c>
      <c r="C11" s="187"/>
      <c r="D11" s="187"/>
      <c r="E11" s="187"/>
      <c r="F11" s="11"/>
    </row>
    <row r="12" spans="1:12" ht="30" x14ac:dyDescent="0.25">
      <c r="A12" s="12">
        <v>4</v>
      </c>
      <c r="B12" s="23" t="s">
        <v>96</v>
      </c>
      <c r="C12" s="188"/>
      <c r="D12" s="188"/>
      <c r="E12" s="188"/>
      <c r="F12" s="12"/>
    </row>
    <row r="13" spans="1:12" ht="30" x14ac:dyDescent="0.25">
      <c r="A13" s="11">
        <v>5</v>
      </c>
      <c r="B13" s="21" t="s">
        <v>156</v>
      </c>
      <c r="C13" s="164">
        <f>SUM(C11:C12)</f>
        <v>0</v>
      </c>
      <c r="D13" s="164">
        <f>SUM(D11:D12)</f>
        <v>0</v>
      </c>
      <c r="E13" s="164">
        <f>SUM(E11:E12)</f>
        <v>0</v>
      </c>
      <c r="F13" s="11" t="s">
        <v>98</v>
      </c>
      <c r="L13" t="s">
        <v>94</v>
      </c>
    </row>
    <row r="14" spans="1:12" x14ac:dyDescent="0.25">
      <c r="A14" s="12">
        <v>6</v>
      </c>
      <c r="B14" s="23" t="s">
        <v>99</v>
      </c>
      <c r="C14" s="164">
        <f>IFERROR(ROUND((C13/C10),2),0)</f>
        <v>0</v>
      </c>
      <c r="D14" s="164">
        <f>IFERROR(ROUND((D13/D10),2),0)</f>
        <v>0</v>
      </c>
      <c r="E14" s="164">
        <f>IFERROR(ROUND((E13/E10),2),0)</f>
        <v>0</v>
      </c>
      <c r="F14" s="36" t="s">
        <v>428</v>
      </c>
    </row>
    <row r="15" spans="1:12" ht="21" x14ac:dyDescent="0.35">
      <c r="A15" s="200" t="s">
        <v>157</v>
      </c>
      <c r="B15" s="200"/>
      <c r="C15" s="200"/>
      <c r="D15" s="200"/>
      <c r="E15" s="200"/>
      <c r="F15" s="200"/>
    </row>
    <row r="16" spans="1:12" ht="30" x14ac:dyDescent="0.25">
      <c r="A16" s="29" t="s">
        <v>102</v>
      </c>
      <c r="B16" s="27" t="s">
        <v>159</v>
      </c>
      <c r="C16" s="27" t="s">
        <v>160</v>
      </c>
      <c r="D16" s="27" t="s">
        <v>161</v>
      </c>
      <c r="E16" s="133" t="s">
        <v>442</v>
      </c>
      <c r="F16" s="208" t="s">
        <v>83</v>
      </c>
    </row>
    <row r="17" spans="1:6" ht="30" x14ac:dyDescent="0.25">
      <c r="A17" s="29" t="s">
        <v>107</v>
      </c>
      <c r="B17" s="27" t="s">
        <v>164</v>
      </c>
      <c r="C17" s="27" t="s">
        <v>174</v>
      </c>
      <c r="D17" s="27" t="s">
        <v>109</v>
      </c>
      <c r="E17" s="133" t="s">
        <v>443</v>
      </c>
      <c r="F17" s="208"/>
    </row>
    <row r="18" spans="1:6" ht="15" customHeight="1" x14ac:dyDescent="0.25">
      <c r="A18" s="8" t="s">
        <v>113</v>
      </c>
      <c r="B18" s="118">
        <f>ROUNDUP((IF((E6&gt;0),(SUM(E5:E6)),E5)),0)</f>
        <v>0</v>
      </c>
      <c r="C18" s="49">
        <f>C14</f>
        <v>0</v>
      </c>
      <c r="D18" s="88">
        <f>ROUNDUP((B18*C18),0)</f>
        <v>0</v>
      </c>
      <c r="E18" s="287">
        <f>IF((SUM(D18:D20))=0,0,118)</f>
        <v>0</v>
      </c>
      <c r="F18" s="51" t="s">
        <v>268</v>
      </c>
    </row>
    <row r="19" spans="1:6" x14ac:dyDescent="0.25">
      <c r="A19" s="15" t="s">
        <v>215</v>
      </c>
      <c r="B19" s="93">
        <v>2</v>
      </c>
      <c r="C19" s="49">
        <f>D14</f>
        <v>0</v>
      </c>
      <c r="D19" s="88">
        <f>ROUNDUP((B19*C19),0)</f>
        <v>0</v>
      </c>
      <c r="E19" s="287"/>
      <c r="F19" s="61" t="s">
        <v>288</v>
      </c>
    </row>
    <row r="20" spans="1:6" x14ac:dyDescent="0.25">
      <c r="A20" s="8" t="s">
        <v>217</v>
      </c>
      <c r="B20" s="93">
        <v>2</v>
      </c>
      <c r="C20" s="55">
        <f>E14</f>
        <v>0</v>
      </c>
      <c r="D20" s="88">
        <f>ROUNDUP((B20*C20),0)</f>
        <v>0</v>
      </c>
      <c r="E20" s="287"/>
      <c r="F20" s="51" t="s">
        <v>288</v>
      </c>
    </row>
    <row r="21" spans="1:6" ht="21" x14ac:dyDescent="0.35">
      <c r="A21" s="200" t="s">
        <v>169</v>
      </c>
      <c r="B21" s="200"/>
      <c r="C21" s="200"/>
      <c r="D21" s="200"/>
      <c r="E21" s="200"/>
      <c r="F21" s="200"/>
    </row>
    <row r="22" spans="1:6" ht="15" customHeight="1" x14ac:dyDescent="0.25">
      <c r="A22" s="1" t="s">
        <v>102</v>
      </c>
      <c r="B22" s="27" t="s">
        <v>170</v>
      </c>
      <c r="C22" s="27" t="s">
        <v>160</v>
      </c>
      <c r="D22" s="27" t="s">
        <v>171</v>
      </c>
      <c r="E22" s="29" t="s">
        <v>172</v>
      </c>
      <c r="F22" s="208" t="s">
        <v>83</v>
      </c>
    </row>
    <row r="23" spans="1:6" ht="30" x14ac:dyDescent="0.25">
      <c r="A23" s="1" t="s">
        <v>107</v>
      </c>
      <c r="B23" s="27" t="s">
        <v>327</v>
      </c>
      <c r="C23" s="27" t="s">
        <v>174</v>
      </c>
      <c r="D23" s="29" t="s">
        <v>175</v>
      </c>
      <c r="E23" s="29" t="s">
        <v>328</v>
      </c>
      <c r="F23" s="208"/>
    </row>
    <row r="24" spans="1:6" ht="30" x14ac:dyDescent="0.25">
      <c r="A24" s="24" t="s">
        <v>113</v>
      </c>
      <c r="B24" s="181"/>
      <c r="C24" s="43">
        <f>C14</f>
        <v>0</v>
      </c>
      <c r="D24" s="43">
        <f>ROUNDUP((B24*C24),0)</f>
        <v>0</v>
      </c>
      <c r="E24" s="173"/>
      <c r="F24" s="22" t="s">
        <v>177</v>
      </c>
    </row>
    <row r="25" spans="1:6" ht="21" x14ac:dyDescent="0.35">
      <c r="A25" s="200" t="s">
        <v>221</v>
      </c>
      <c r="B25" s="200"/>
      <c r="C25" s="200"/>
      <c r="D25" s="200"/>
      <c r="E25" s="200"/>
      <c r="F25" s="200"/>
    </row>
    <row r="26" spans="1:6" ht="15" customHeight="1" x14ac:dyDescent="0.25">
      <c r="A26" s="29"/>
      <c r="B26" s="29"/>
      <c r="C26" s="27" t="s">
        <v>222</v>
      </c>
      <c r="D26" s="225" t="s">
        <v>83</v>
      </c>
      <c r="E26" s="225"/>
      <c r="F26" s="225"/>
    </row>
    <row r="27" spans="1:6" ht="15" customHeight="1" x14ac:dyDescent="0.25">
      <c r="A27" s="11">
        <v>1</v>
      </c>
      <c r="B27" s="22" t="s">
        <v>481</v>
      </c>
      <c r="C27" s="171"/>
      <c r="D27" s="247" t="s">
        <v>224</v>
      </c>
      <c r="E27" s="248"/>
      <c r="F27" s="248"/>
    </row>
    <row r="28" spans="1:6" x14ac:dyDescent="0.25">
      <c r="A28" s="12">
        <v>2</v>
      </c>
      <c r="B28" s="23" t="s">
        <v>289</v>
      </c>
      <c r="C28" s="171"/>
      <c r="D28" s="249" t="s">
        <v>290</v>
      </c>
      <c r="E28" s="250"/>
      <c r="F28" s="250"/>
    </row>
    <row r="29" spans="1:6" ht="21" x14ac:dyDescent="0.35">
      <c r="A29" s="200" t="s">
        <v>291</v>
      </c>
      <c r="B29" s="200"/>
      <c r="C29" s="200"/>
      <c r="D29" s="200"/>
      <c r="E29" s="200"/>
      <c r="F29" s="200"/>
    </row>
    <row r="30" spans="1:6" x14ac:dyDescent="0.25">
      <c r="A30" s="241" t="s">
        <v>179</v>
      </c>
      <c r="B30" s="241"/>
      <c r="C30" s="241"/>
      <c r="D30" s="241"/>
      <c r="E30" s="241"/>
      <c r="F30" s="60">
        <f>SUM(D18:D20)+E18</f>
        <v>0</v>
      </c>
    </row>
    <row r="31" spans="1:6" x14ac:dyDescent="0.25">
      <c r="A31" s="59"/>
      <c r="B31" s="59"/>
      <c r="C31" s="59"/>
      <c r="D31" s="59"/>
      <c r="E31" s="59" t="s">
        <v>227</v>
      </c>
      <c r="F31" s="60">
        <f>D24+E24</f>
        <v>0</v>
      </c>
    </row>
    <row r="32" spans="1:6" ht="15.75" thickBot="1" x14ac:dyDescent="0.3">
      <c r="A32" s="241" t="s">
        <v>228</v>
      </c>
      <c r="B32" s="241"/>
      <c r="C32" s="241"/>
      <c r="D32" s="241"/>
      <c r="E32" s="241"/>
      <c r="F32" s="60">
        <f>C28*250</f>
        <v>0</v>
      </c>
    </row>
    <row r="33" spans="1:6" ht="19.5" thickBot="1" x14ac:dyDescent="0.35">
      <c r="A33" s="220" t="s">
        <v>292</v>
      </c>
      <c r="B33" s="220"/>
      <c r="C33" s="220"/>
      <c r="D33" s="220"/>
      <c r="E33" s="221"/>
      <c r="F33" s="40">
        <f>ROUNDUP((SUM(F30:F32)),0)</f>
        <v>0</v>
      </c>
    </row>
  </sheetData>
  <sheetProtection algorithmName="SHA-512" hashValue="k1sf+huXN6g76KDoTeFFqiR2inwPBi0qG8GQeg39ZhLjWF/6YaoKb1JqWY2nzZSOEPL8eyZPj0RGmZvu/lau3A==" saltValue="f0pRJQQSZZFjuNkq9icmyA==" spinCount="100000" sheet="1" objects="1" scenarios="1" formatCells="0" formatColumns="0" formatRows="0" insertColumns="0" insertRows="0" insertHyperlinks="0" deleteColumns="0" deleteRows="0" sort="0"/>
  <mergeCells count="19">
    <mergeCell ref="A1:F1"/>
    <mergeCell ref="A7:F7"/>
    <mergeCell ref="A15:F15"/>
    <mergeCell ref="E18:E20"/>
    <mergeCell ref="F16:F17"/>
    <mergeCell ref="A5:B5"/>
    <mergeCell ref="A6:B6"/>
    <mergeCell ref="A3:B4"/>
    <mergeCell ref="F3:F4"/>
    <mergeCell ref="A21:F21"/>
    <mergeCell ref="A32:E32"/>
    <mergeCell ref="A33:E33"/>
    <mergeCell ref="D28:F28"/>
    <mergeCell ref="A29:F29"/>
    <mergeCell ref="A30:E30"/>
    <mergeCell ref="F22:F23"/>
    <mergeCell ref="A25:F25"/>
    <mergeCell ref="D26:F26"/>
    <mergeCell ref="D27:F27"/>
  </mergeCells>
  <pageMargins left="0.7" right="0.7" top="0.75" bottom="0.75" header="0.3" footer="0.3"/>
  <pageSetup orientation="portrait" horizontalDpi="0"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AFA2DD-42F1-4DBE-B188-8064A2CEBE60}">
  <dimension ref="A1:K25"/>
  <sheetViews>
    <sheetView zoomScaleNormal="100" workbookViewId="0">
      <selection activeCell="J11" sqref="J11"/>
    </sheetView>
  </sheetViews>
  <sheetFormatPr defaultRowHeight="15" x14ac:dyDescent="0.25"/>
  <cols>
    <col min="1" max="1" width="6.7109375" customWidth="1"/>
    <col min="2" max="2" width="49.85546875" customWidth="1"/>
    <col min="3" max="3" width="9.140625" customWidth="1"/>
    <col min="4" max="4" width="10.42578125" customWidth="1"/>
    <col min="5" max="5" width="10" customWidth="1"/>
    <col min="6" max="6" width="8.5703125" customWidth="1"/>
    <col min="7" max="7" width="10" customWidth="1"/>
    <col min="8" max="8" width="11.7109375" customWidth="1"/>
    <col min="9" max="9" width="20.28515625" bestFit="1" customWidth="1"/>
    <col min="10" max="10" width="9.85546875" customWidth="1"/>
    <col min="11" max="11" width="14.28515625" customWidth="1"/>
  </cols>
  <sheetData>
    <row r="1" spans="1:11" ht="30" customHeight="1" x14ac:dyDescent="0.45">
      <c r="A1" s="202" t="s">
        <v>293</v>
      </c>
      <c r="B1" s="202"/>
      <c r="C1" s="202"/>
      <c r="D1" s="202"/>
      <c r="E1" s="202"/>
      <c r="F1" s="202"/>
      <c r="G1" s="202"/>
      <c r="H1" s="202"/>
      <c r="I1" s="202"/>
      <c r="J1" s="202"/>
      <c r="K1" s="202"/>
    </row>
    <row r="2" spans="1:11" ht="21" x14ac:dyDescent="0.35">
      <c r="A2" s="200" t="s">
        <v>266</v>
      </c>
      <c r="B2" s="200"/>
      <c r="C2" s="200"/>
      <c r="D2" s="200"/>
      <c r="E2" s="200"/>
      <c r="F2" s="200"/>
      <c r="G2" s="200"/>
      <c r="H2" s="200"/>
      <c r="I2" s="200"/>
      <c r="J2" s="200"/>
      <c r="K2" s="200"/>
    </row>
    <row r="3" spans="1:11" x14ac:dyDescent="0.25">
      <c r="A3" s="208" t="s">
        <v>90</v>
      </c>
      <c r="B3" s="135" t="s">
        <v>450</v>
      </c>
      <c r="C3" s="1" t="s">
        <v>377</v>
      </c>
      <c r="D3" s="132" t="s">
        <v>383</v>
      </c>
      <c r="E3" s="132" t="s">
        <v>383</v>
      </c>
      <c r="F3" s="132" t="s">
        <v>452</v>
      </c>
      <c r="G3" s="132" t="s">
        <v>324</v>
      </c>
      <c r="H3" s="132" t="s">
        <v>362</v>
      </c>
      <c r="I3" s="132" t="s">
        <v>455</v>
      </c>
      <c r="J3" s="132" t="s">
        <v>455</v>
      </c>
      <c r="K3" s="132" t="s">
        <v>455</v>
      </c>
    </row>
    <row r="4" spans="1:11" x14ac:dyDescent="0.25">
      <c r="A4" s="208"/>
      <c r="B4" s="135" t="s">
        <v>449</v>
      </c>
      <c r="C4" s="132" t="s">
        <v>448</v>
      </c>
      <c r="D4" s="132" t="s">
        <v>448</v>
      </c>
      <c r="E4" s="132" t="s">
        <v>451</v>
      </c>
      <c r="F4" s="132" t="s">
        <v>453</v>
      </c>
      <c r="G4" s="132" t="s">
        <v>453</v>
      </c>
      <c r="H4" s="132" t="s">
        <v>454</v>
      </c>
      <c r="I4" s="132" t="s">
        <v>456</v>
      </c>
      <c r="J4" s="132" t="s">
        <v>457</v>
      </c>
      <c r="K4" s="132" t="s">
        <v>451</v>
      </c>
    </row>
    <row r="5" spans="1:11" ht="45" x14ac:dyDescent="0.25">
      <c r="A5" s="11">
        <v>1</v>
      </c>
      <c r="B5" s="22" t="s">
        <v>294</v>
      </c>
      <c r="C5" s="171"/>
      <c r="D5" s="171"/>
      <c r="E5" s="171"/>
      <c r="F5" s="171"/>
      <c r="G5" s="171"/>
      <c r="H5" s="171"/>
      <c r="I5" s="171"/>
      <c r="J5" s="171"/>
      <c r="K5" s="171"/>
    </row>
    <row r="6" spans="1:11" ht="30" x14ac:dyDescent="0.25">
      <c r="A6" s="12">
        <v>2</v>
      </c>
      <c r="B6" s="23" t="s">
        <v>93</v>
      </c>
      <c r="C6" s="171"/>
      <c r="D6" s="171"/>
      <c r="E6" s="171"/>
      <c r="F6" s="171"/>
      <c r="G6" s="171"/>
      <c r="H6" s="171"/>
      <c r="I6" s="171"/>
      <c r="J6" s="171"/>
      <c r="K6" s="171"/>
    </row>
    <row r="7" spans="1:11" ht="30" x14ac:dyDescent="0.25">
      <c r="A7" s="11">
        <v>3</v>
      </c>
      <c r="B7" s="22" t="s">
        <v>95</v>
      </c>
      <c r="C7" s="172"/>
      <c r="D7" s="172"/>
      <c r="E7" s="172"/>
      <c r="F7" s="172"/>
      <c r="G7" s="172"/>
      <c r="H7" s="172"/>
      <c r="I7" s="172"/>
      <c r="J7" s="172"/>
      <c r="K7" s="172"/>
    </row>
    <row r="8" spans="1:11" ht="30" x14ac:dyDescent="0.25">
      <c r="A8" s="12">
        <v>4</v>
      </c>
      <c r="B8" s="23" t="s">
        <v>96</v>
      </c>
      <c r="C8" s="173"/>
      <c r="D8" s="173"/>
      <c r="E8" s="173"/>
      <c r="F8" s="173"/>
      <c r="G8" s="173"/>
      <c r="H8" s="173"/>
      <c r="I8" s="173"/>
      <c r="J8" s="173"/>
      <c r="K8" s="173"/>
    </row>
    <row r="9" spans="1:11" ht="30" x14ac:dyDescent="0.25">
      <c r="A9" s="11">
        <v>5</v>
      </c>
      <c r="B9" s="21" t="s">
        <v>156</v>
      </c>
      <c r="C9" s="50">
        <f t="shared" ref="C9:K9" si="0">SUM(C7:C8)</f>
        <v>0</v>
      </c>
      <c r="D9" s="50">
        <f t="shared" si="0"/>
        <v>0</v>
      </c>
      <c r="E9" s="50">
        <f t="shared" si="0"/>
        <v>0</v>
      </c>
      <c r="F9" s="50">
        <f t="shared" si="0"/>
        <v>0</v>
      </c>
      <c r="G9" s="50">
        <f t="shared" si="0"/>
        <v>0</v>
      </c>
      <c r="H9" s="50">
        <f t="shared" si="0"/>
        <v>0</v>
      </c>
      <c r="I9" s="50">
        <f t="shared" si="0"/>
        <v>0</v>
      </c>
      <c r="J9" s="50">
        <f t="shared" si="0"/>
        <v>0</v>
      </c>
      <c r="K9" s="50">
        <f t="shared" si="0"/>
        <v>0</v>
      </c>
    </row>
    <row r="10" spans="1:11" x14ac:dyDescent="0.25">
      <c r="A10" s="12">
        <v>6</v>
      </c>
      <c r="B10" s="23" t="s">
        <v>99</v>
      </c>
      <c r="C10" s="50">
        <f t="shared" ref="C10:K10" si="1">IFERROR(ROUND((C9/C6),2),0)</f>
        <v>0</v>
      </c>
      <c r="D10" s="50">
        <f t="shared" si="1"/>
        <v>0</v>
      </c>
      <c r="E10" s="50">
        <f t="shared" si="1"/>
        <v>0</v>
      </c>
      <c r="F10" s="50">
        <f t="shared" si="1"/>
        <v>0</v>
      </c>
      <c r="G10" s="50">
        <f t="shared" si="1"/>
        <v>0</v>
      </c>
      <c r="H10" s="50">
        <f t="shared" si="1"/>
        <v>0</v>
      </c>
      <c r="I10" s="50">
        <f t="shared" si="1"/>
        <v>0</v>
      </c>
      <c r="J10" s="50">
        <f t="shared" si="1"/>
        <v>0</v>
      </c>
      <c r="K10" s="50">
        <f t="shared" si="1"/>
        <v>0</v>
      </c>
    </row>
    <row r="11" spans="1:11" x14ac:dyDescent="0.25">
      <c r="A11" s="260" t="s">
        <v>467</v>
      </c>
      <c r="B11" s="260"/>
      <c r="C11" s="260"/>
      <c r="D11" s="260"/>
      <c r="E11" s="260"/>
      <c r="F11" s="260"/>
      <c r="G11" s="260"/>
      <c r="H11" s="173"/>
      <c r="I11" s="132" t="s">
        <v>467</v>
      </c>
      <c r="J11" s="173"/>
      <c r="K11" s="132"/>
    </row>
    <row r="12" spans="1:11" ht="21" x14ac:dyDescent="0.35">
      <c r="A12" s="200" t="s">
        <v>157</v>
      </c>
      <c r="B12" s="200"/>
      <c r="C12" s="200"/>
      <c r="D12" s="200"/>
      <c r="E12" s="200"/>
      <c r="F12" s="200"/>
      <c r="G12" s="200"/>
      <c r="H12" s="200"/>
      <c r="I12" s="200"/>
      <c r="J12" s="200"/>
      <c r="K12" s="200"/>
    </row>
    <row r="13" spans="1:11" x14ac:dyDescent="0.25">
      <c r="A13" s="227" t="s">
        <v>295</v>
      </c>
      <c r="B13" s="227"/>
      <c r="C13" s="227" t="s">
        <v>248</v>
      </c>
      <c r="D13" s="227"/>
      <c r="E13" s="227" t="s">
        <v>160</v>
      </c>
      <c r="F13" s="227"/>
      <c r="G13" s="227" t="s">
        <v>161</v>
      </c>
      <c r="H13" s="227"/>
      <c r="I13" s="208" t="s">
        <v>83</v>
      </c>
      <c r="J13" s="208"/>
      <c r="K13" s="208"/>
    </row>
    <row r="14" spans="1:11" x14ac:dyDescent="0.25">
      <c r="A14" s="227"/>
      <c r="B14" s="227"/>
      <c r="C14" s="227" t="s">
        <v>446</v>
      </c>
      <c r="D14" s="227"/>
      <c r="E14" s="227" t="s">
        <v>447</v>
      </c>
      <c r="F14" s="227"/>
      <c r="G14" s="227" t="s">
        <v>109</v>
      </c>
      <c r="H14" s="227"/>
      <c r="I14" s="208"/>
      <c r="J14" s="208"/>
      <c r="K14" s="208"/>
    </row>
    <row r="15" spans="1:11" x14ac:dyDescent="0.25">
      <c r="A15" s="18">
        <v>1</v>
      </c>
      <c r="B15" s="31" t="s">
        <v>458</v>
      </c>
      <c r="C15" s="292">
        <v>2</v>
      </c>
      <c r="D15" s="293"/>
      <c r="E15" s="294">
        <f>C10</f>
        <v>0</v>
      </c>
      <c r="F15" s="295"/>
      <c r="G15" s="290">
        <f t="shared" ref="G15:G22" si="2">ROUNDUP((C15*E15),0)</f>
        <v>0</v>
      </c>
      <c r="H15" s="291"/>
      <c r="I15" s="247" t="s">
        <v>296</v>
      </c>
      <c r="J15" s="296"/>
      <c r="K15" s="296"/>
    </row>
    <row r="16" spans="1:11" x14ac:dyDescent="0.25">
      <c r="A16" s="25">
        <v>2</v>
      </c>
      <c r="B16" s="10" t="s">
        <v>459</v>
      </c>
      <c r="C16" s="292">
        <v>2</v>
      </c>
      <c r="D16" s="293"/>
      <c r="E16" s="294">
        <f>D10</f>
        <v>0</v>
      </c>
      <c r="F16" s="295"/>
      <c r="G16" s="290">
        <f t="shared" si="2"/>
        <v>0</v>
      </c>
      <c r="H16" s="291"/>
      <c r="I16" s="297" t="s">
        <v>296</v>
      </c>
      <c r="J16" s="298"/>
      <c r="K16" s="298"/>
    </row>
    <row r="17" spans="1:11" x14ac:dyDescent="0.25">
      <c r="A17" s="26">
        <v>3</v>
      </c>
      <c r="B17" s="5" t="s">
        <v>460</v>
      </c>
      <c r="C17" s="292">
        <v>2</v>
      </c>
      <c r="D17" s="293"/>
      <c r="E17" s="294">
        <f>E10</f>
        <v>0</v>
      </c>
      <c r="F17" s="295"/>
      <c r="G17" s="290">
        <f t="shared" si="2"/>
        <v>0</v>
      </c>
      <c r="H17" s="291"/>
      <c r="I17" s="247" t="s">
        <v>296</v>
      </c>
      <c r="J17" s="296"/>
      <c r="K17" s="296"/>
    </row>
    <row r="18" spans="1:11" x14ac:dyDescent="0.25">
      <c r="A18" s="25">
        <v>4</v>
      </c>
      <c r="B18" s="10" t="s">
        <v>461</v>
      </c>
      <c r="C18" s="292">
        <v>4</v>
      </c>
      <c r="D18" s="293"/>
      <c r="E18" s="294">
        <f>F10</f>
        <v>0</v>
      </c>
      <c r="F18" s="295"/>
      <c r="G18" s="290">
        <f t="shared" si="2"/>
        <v>0</v>
      </c>
      <c r="H18" s="291"/>
      <c r="I18" s="249" t="s">
        <v>190</v>
      </c>
      <c r="J18" s="299"/>
      <c r="K18" s="299"/>
    </row>
    <row r="19" spans="1:11" x14ac:dyDescent="0.25">
      <c r="A19" s="26">
        <v>5</v>
      </c>
      <c r="B19" s="5" t="s">
        <v>462</v>
      </c>
      <c r="C19" s="292">
        <v>4</v>
      </c>
      <c r="D19" s="293"/>
      <c r="E19" s="294">
        <f>G10</f>
        <v>0</v>
      </c>
      <c r="F19" s="295"/>
      <c r="G19" s="290">
        <f t="shared" si="2"/>
        <v>0</v>
      </c>
      <c r="H19" s="291"/>
      <c r="I19" s="247" t="s">
        <v>190</v>
      </c>
      <c r="J19" s="296"/>
      <c r="K19" s="296"/>
    </row>
    <row r="20" spans="1:11" x14ac:dyDescent="0.25">
      <c r="A20" s="25">
        <v>6</v>
      </c>
      <c r="B20" s="10" t="s">
        <v>463</v>
      </c>
      <c r="C20" s="292">
        <f>IF((H11="Yes"),10,8)</f>
        <v>8</v>
      </c>
      <c r="D20" s="293"/>
      <c r="E20" s="294">
        <f>H10</f>
        <v>0</v>
      </c>
      <c r="F20" s="295"/>
      <c r="G20" s="290">
        <f t="shared" si="2"/>
        <v>0</v>
      </c>
      <c r="H20" s="291"/>
      <c r="I20" s="249" t="s">
        <v>468</v>
      </c>
      <c r="J20" s="299"/>
      <c r="K20" s="299"/>
    </row>
    <row r="21" spans="1:11" x14ac:dyDescent="0.25">
      <c r="A21" s="26">
        <v>7</v>
      </c>
      <c r="B21" s="5" t="s">
        <v>464</v>
      </c>
      <c r="C21" s="292">
        <v>2</v>
      </c>
      <c r="D21" s="293"/>
      <c r="E21" s="294">
        <f>I10</f>
        <v>0</v>
      </c>
      <c r="F21" s="295"/>
      <c r="G21" s="290">
        <f t="shared" si="2"/>
        <v>0</v>
      </c>
      <c r="H21" s="291"/>
      <c r="I21" s="247" t="s">
        <v>296</v>
      </c>
      <c r="J21" s="296"/>
      <c r="K21" s="296"/>
    </row>
    <row r="22" spans="1:11" x14ac:dyDescent="0.25">
      <c r="A22" s="25">
        <v>8</v>
      </c>
      <c r="B22" s="10" t="s">
        <v>465</v>
      </c>
      <c r="C22" s="292">
        <v>16</v>
      </c>
      <c r="D22" s="293"/>
      <c r="E22" s="294">
        <f>J10</f>
        <v>0</v>
      </c>
      <c r="F22" s="295"/>
      <c r="G22" s="290">
        <f t="shared" si="2"/>
        <v>0</v>
      </c>
      <c r="H22" s="291"/>
      <c r="I22" s="249" t="s">
        <v>297</v>
      </c>
      <c r="J22" s="299"/>
      <c r="K22" s="299"/>
    </row>
    <row r="23" spans="1:11" x14ac:dyDescent="0.25">
      <c r="A23" s="26">
        <v>9</v>
      </c>
      <c r="B23" s="5" t="s">
        <v>466</v>
      </c>
      <c r="C23" s="292">
        <f>IF((J11="Yes"),22,20)</f>
        <v>20</v>
      </c>
      <c r="D23" s="293"/>
      <c r="E23" s="294">
        <f>K10</f>
        <v>0</v>
      </c>
      <c r="F23" s="295"/>
      <c r="G23" s="290">
        <f>C23*E23</f>
        <v>0</v>
      </c>
      <c r="H23" s="291"/>
      <c r="I23" s="247" t="s">
        <v>469</v>
      </c>
      <c r="J23" s="296"/>
      <c r="K23" s="296"/>
    </row>
    <row r="24" spans="1:11" ht="21.75" thickBot="1" x14ac:dyDescent="0.4">
      <c r="A24" s="200" t="s">
        <v>298</v>
      </c>
      <c r="B24" s="200"/>
      <c r="C24" s="200"/>
      <c r="D24" s="200"/>
      <c r="E24" s="200"/>
      <c r="F24" s="200"/>
      <c r="G24" s="200"/>
      <c r="H24" s="200"/>
      <c r="I24" s="200"/>
      <c r="J24" s="200"/>
      <c r="K24" s="200"/>
    </row>
    <row r="25" spans="1:11" ht="19.5" thickBot="1" x14ac:dyDescent="0.35">
      <c r="A25" s="220" t="s">
        <v>299</v>
      </c>
      <c r="B25" s="220"/>
      <c r="C25" s="220"/>
      <c r="D25" s="220"/>
      <c r="E25" s="220"/>
      <c r="F25" s="220"/>
      <c r="G25" s="220"/>
      <c r="H25" s="220"/>
      <c r="I25" s="220"/>
      <c r="J25" s="221"/>
      <c r="K25" s="40">
        <f>ROUNDUP((SUM(G15:H23)),0)</f>
        <v>0</v>
      </c>
    </row>
  </sheetData>
  <sheetProtection algorithmName="SHA-512" hashValue="lRlNAqMGAYeOYJUEBeQ/eLefc/fC7qVfH/UUo49OCi/RAG349zYb0NuUmslnDh0I4+iQhxh0DCX9fpFOX8VmYA==" saltValue="DWo7D/bMkSd6DsNEd3A+Gg==" spinCount="100000" sheet="1" objects="1" scenarios="1" formatCells="0" formatColumns="0" formatRows="0" insertColumns="0" insertRows="0" insertHyperlinks="0" deleteColumns="0" deleteRows="0"/>
  <mergeCells count="52">
    <mergeCell ref="A24:K24"/>
    <mergeCell ref="A12:K12"/>
    <mergeCell ref="I16:K16"/>
    <mergeCell ref="I17:K17"/>
    <mergeCell ref="I18:K18"/>
    <mergeCell ref="I19:K19"/>
    <mergeCell ref="I20:K20"/>
    <mergeCell ref="I21:K21"/>
    <mergeCell ref="I22:K22"/>
    <mergeCell ref="I23:K23"/>
    <mergeCell ref="C16:D16"/>
    <mergeCell ref="A13:B14"/>
    <mergeCell ref="E22:F22"/>
    <mergeCell ref="E23:F23"/>
    <mergeCell ref="C17:D17"/>
    <mergeCell ref="C18:D18"/>
    <mergeCell ref="A2:K2"/>
    <mergeCell ref="A1:K1"/>
    <mergeCell ref="I13:K13"/>
    <mergeCell ref="I14:K14"/>
    <mergeCell ref="I15:K15"/>
    <mergeCell ref="C13:D13"/>
    <mergeCell ref="C14:D14"/>
    <mergeCell ref="C15:D15"/>
    <mergeCell ref="G13:H13"/>
    <mergeCell ref="G14:H14"/>
    <mergeCell ref="G15:H15"/>
    <mergeCell ref="A3:A4"/>
    <mergeCell ref="C19:D19"/>
    <mergeCell ref="C20:D20"/>
    <mergeCell ref="C21:D21"/>
    <mergeCell ref="E17:F17"/>
    <mergeCell ref="E18:F18"/>
    <mergeCell ref="E19:F19"/>
    <mergeCell ref="E20:F20"/>
    <mergeCell ref="E21:F21"/>
    <mergeCell ref="G21:H21"/>
    <mergeCell ref="G22:H22"/>
    <mergeCell ref="G23:H23"/>
    <mergeCell ref="A11:G11"/>
    <mergeCell ref="A25:J25"/>
    <mergeCell ref="G16:H16"/>
    <mergeCell ref="G17:H17"/>
    <mergeCell ref="G18:H18"/>
    <mergeCell ref="G19:H19"/>
    <mergeCell ref="G20:H20"/>
    <mergeCell ref="C22:D22"/>
    <mergeCell ref="C23:D23"/>
    <mergeCell ref="E13:F13"/>
    <mergeCell ref="E14:F14"/>
    <mergeCell ref="E15:F15"/>
    <mergeCell ref="E16:F16"/>
  </mergeCells>
  <dataValidations count="1">
    <dataValidation type="list" showInputMessage="1" showErrorMessage="1" sqref="H11 J11" xr:uid="{E8ED43B9-0322-4745-9C3A-9660DA94B22B}">
      <formula1>"Yes,No"</formula1>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0409D9-6DA6-46CF-8C15-014621CAFD8A}">
  <dimension ref="A1:K16"/>
  <sheetViews>
    <sheetView zoomScaleNormal="100" workbookViewId="0">
      <selection activeCell="E13" sqref="E13:E14"/>
    </sheetView>
  </sheetViews>
  <sheetFormatPr defaultRowHeight="15" x14ac:dyDescent="0.25"/>
  <cols>
    <col min="1" max="1" width="14.7109375" bestFit="1" customWidth="1"/>
    <col min="2" max="2" width="53.42578125" customWidth="1"/>
    <col min="3" max="3" width="24" bestFit="1" customWidth="1"/>
    <col min="4" max="4" width="22" bestFit="1" customWidth="1"/>
    <col min="5" max="5" width="30.28515625" bestFit="1" customWidth="1"/>
    <col min="6" max="6" width="52.5703125" bestFit="1" customWidth="1"/>
  </cols>
  <sheetData>
    <row r="1" spans="1:11" ht="30" customHeight="1" x14ac:dyDescent="0.45">
      <c r="A1" s="202" t="s">
        <v>300</v>
      </c>
      <c r="B1" s="202"/>
      <c r="C1" s="202"/>
      <c r="D1" s="202"/>
      <c r="E1" s="202"/>
      <c r="F1" s="202"/>
    </row>
    <row r="2" spans="1:11" ht="21" x14ac:dyDescent="0.35">
      <c r="A2" s="200" t="s">
        <v>266</v>
      </c>
      <c r="B2" s="200"/>
      <c r="C2" s="200"/>
      <c r="D2" s="200"/>
      <c r="E2" s="200"/>
      <c r="F2" s="200"/>
    </row>
    <row r="3" spans="1:11" x14ac:dyDescent="0.25">
      <c r="A3" s="6" t="s">
        <v>90</v>
      </c>
      <c r="B3" s="7"/>
      <c r="C3" s="1" t="s">
        <v>154</v>
      </c>
      <c r="D3" s="1" t="s">
        <v>81</v>
      </c>
      <c r="E3" s="1" t="s">
        <v>82</v>
      </c>
      <c r="F3" s="1" t="s">
        <v>83</v>
      </c>
    </row>
    <row r="4" spans="1:11" ht="30" x14ac:dyDescent="0.25">
      <c r="A4" s="11">
        <v>1</v>
      </c>
      <c r="B4" s="22" t="s">
        <v>301</v>
      </c>
      <c r="C4" s="251" t="s">
        <v>189</v>
      </c>
      <c r="D4" s="171"/>
      <c r="E4" s="171"/>
      <c r="F4" s="11"/>
    </row>
    <row r="5" spans="1:11" ht="30" x14ac:dyDescent="0.25">
      <c r="A5" s="12">
        <v>2</v>
      </c>
      <c r="B5" s="23" t="s">
        <v>93</v>
      </c>
      <c r="C5" s="280"/>
      <c r="D5" s="170"/>
      <c r="E5" s="170"/>
      <c r="F5" s="12"/>
    </row>
    <row r="6" spans="1:11" ht="30" x14ac:dyDescent="0.25">
      <c r="A6" s="11">
        <v>3</v>
      </c>
      <c r="B6" s="22" t="s">
        <v>95</v>
      </c>
      <c r="C6" s="280"/>
      <c r="D6" s="187"/>
      <c r="E6" s="187"/>
      <c r="F6" s="11"/>
    </row>
    <row r="7" spans="1:11" ht="30" x14ac:dyDescent="0.25">
      <c r="A7" s="12">
        <v>4</v>
      </c>
      <c r="B7" s="23" t="s">
        <v>96</v>
      </c>
      <c r="C7" s="280"/>
      <c r="D7" s="188"/>
      <c r="E7" s="188"/>
      <c r="F7" s="12"/>
    </row>
    <row r="8" spans="1:11" ht="30" x14ac:dyDescent="0.25">
      <c r="A8" s="11">
        <v>5</v>
      </c>
      <c r="B8" s="21" t="s">
        <v>156</v>
      </c>
      <c r="C8" s="280"/>
      <c r="D8" s="50">
        <f>SUM(D6:D7)</f>
        <v>0</v>
      </c>
      <c r="E8" s="50">
        <f>SUM(E6:E7)</f>
        <v>0</v>
      </c>
      <c r="F8" s="11" t="s">
        <v>98</v>
      </c>
      <c r="K8" t="s">
        <v>94</v>
      </c>
    </row>
    <row r="9" spans="1:11" x14ac:dyDescent="0.25">
      <c r="A9" s="12">
        <v>6</v>
      </c>
      <c r="B9" s="23" t="s">
        <v>99</v>
      </c>
      <c r="C9" s="252"/>
      <c r="D9" s="50">
        <f>IFERROR(ROUND((D8/D5),2),0)</f>
        <v>0</v>
      </c>
      <c r="E9" s="50">
        <f>IFERROR(ROUND((E8/E5),2),0)</f>
        <v>0</v>
      </c>
      <c r="F9" s="36" t="s">
        <v>428</v>
      </c>
    </row>
    <row r="10" spans="1:11" ht="21" x14ac:dyDescent="0.35">
      <c r="A10" s="200" t="s">
        <v>157</v>
      </c>
      <c r="B10" s="200"/>
      <c r="C10" s="200"/>
      <c r="D10" s="200"/>
      <c r="E10" s="200"/>
      <c r="F10" s="200"/>
    </row>
    <row r="11" spans="1:11" x14ac:dyDescent="0.25">
      <c r="A11" s="29" t="s">
        <v>102</v>
      </c>
      <c r="B11" s="27" t="s">
        <v>248</v>
      </c>
      <c r="C11" s="27" t="s">
        <v>160</v>
      </c>
      <c r="D11" s="27" t="s">
        <v>161</v>
      </c>
      <c r="E11" s="27" t="s">
        <v>277</v>
      </c>
      <c r="F11" s="29" t="s">
        <v>83</v>
      </c>
    </row>
    <row r="12" spans="1:11" ht="30" x14ac:dyDescent="0.25">
      <c r="A12" s="1" t="s">
        <v>107</v>
      </c>
      <c r="B12" s="27" t="s">
        <v>302</v>
      </c>
      <c r="C12" s="27" t="s">
        <v>174</v>
      </c>
      <c r="D12" s="27" t="s">
        <v>109</v>
      </c>
      <c r="E12" s="27" t="s">
        <v>166</v>
      </c>
      <c r="F12" s="29"/>
    </row>
    <row r="13" spans="1:11" x14ac:dyDescent="0.25">
      <c r="A13" s="15" t="s">
        <v>114</v>
      </c>
      <c r="B13" s="162">
        <v>37</v>
      </c>
      <c r="C13" s="126">
        <f>D9</f>
        <v>0</v>
      </c>
      <c r="D13" s="125">
        <f>ROUNDUP(SUM(B13*C13),0)</f>
        <v>0</v>
      </c>
      <c r="E13" s="300">
        <f>IF((SUM(D13:D14))=0,0,10)</f>
        <v>0</v>
      </c>
      <c r="F13" s="128" t="s">
        <v>303</v>
      </c>
    </row>
    <row r="14" spans="1:11" x14ac:dyDescent="0.25">
      <c r="A14" s="8" t="s">
        <v>115</v>
      </c>
      <c r="B14" s="162">
        <v>3</v>
      </c>
      <c r="C14" s="126">
        <f>E9</f>
        <v>0</v>
      </c>
      <c r="D14" s="125">
        <f>ROUNDUP(SUM(B14*C14),0)</f>
        <v>0</v>
      </c>
      <c r="E14" s="301"/>
      <c r="F14" s="128" t="s">
        <v>304</v>
      </c>
    </row>
    <row r="15" spans="1:11" ht="21" x14ac:dyDescent="0.35">
      <c r="A15" s="200" t="s">
        <v>305</v>
      </c>
      <c r="B15" s="200"/>
      <c r="C15" s="200"/>
      <c r="D15" s="200"/>
      <c r="E15" s="200"/>
      <c r="F15" s="200"/>
    </row>
    <row r="16" spans="1:11" ht="18.75" x14ac:dyDescent="0.3">
      <c r="A16" s="220" t="s">
        <v>306</v>
      </c>
      <c r="B16" s="220"/>
      <c r="C16" s="220"/>
      <c r="D16" s="220"/>
      <c r="E16" s="221"/>
      <c r="F16" s="40">
        <f>ROUNDUP((SUM(D13:D14)+E13),0)</f>
        <v>0</v>
      </c>
    </row>
  </sheetData>
  <sheetProtection algorithmName="SHA-512" hashValue="Tuec4ebBOmadYeWcfPfflKk8Rc3XeN6zasnEXZPsNqQWTCHUsTM0edhS07meyqxvP3KO7mUBmVxKhUMOQZTAiw==" saltValue="L/SbvIMDQPzeohth0nqgNw==" spinCount="100000" sheet="1" objects="1" scenarios="1" formatCells="0" formatColumns="0" formatRows="0" insertColumns="0" insertRows="0" insertHyperlinks="0" deleteColumns="0" deleteRows="0"/>
  <mergeCells count="7">
    <mergeCell ref="A16:E16"/>
    <mergeCell ref="A1:F1"/>
    <mergeCell ref="A2:F2"/>
    <mergeCell ref="A10:F10"/>
    <mergeCell ref="A15:F15"/>
    <mergeCell ref="C4:C9"/>
    <mergeCell ref="E13:E14"/>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3ABE62-D8BD-4957-B76C-6AB08143E816}">
  <dimension ref="A1:I33"/>
  <sheetViews>
    <sheetView topLeftCell="B1" zoomScaleNormal="100" workbookViewId="0">
      <selection activeCell="E18" sqref="E18:E20"/>
    </sheetView>
  </sheetViews>
  <sheetFormatPr defaultRowHeight="15" x14ac:dyDescent="0.25"/>
  <cols>
    <col min="1" max="1" width="20.140625" customWidth="1"/>
    <col min="2" max="2" width="47.5703125" customWidth="1"/>
    <col min="3" max="3" width="23.5703125" bestFit="1" customWidth="1"/>
    <col min="4" max="4" width="21.42578125" bestFit="1" customWidth="1"/>
    <col min="5" max="5" width="45" bestFit="1" customWidth="1"/>
    <col min="6" max="6" width="48.7109375" bestFit="1" customWidth="1"/>
  </cols>
  <sheetData>
    <row r="1" spans="1:9" ht="30" customHeight="1" x14ac:dyDescent="0.45">
      <c r="A1" s="202" t="s">
        <v>307</v>
      </c>
      <c r="B1" s="202"/>
      <c r="C1" s="202"/>
      <c r="D1" s="202"/>
      <c r="E1" s="202"/>
      <c r="F1" s="202"/>
    </row>
    <row r="2" spans="1:9" ht="20.25" customHeight="1" x14ac:dyDescent="0.35">
      <c r="A2" s="33" t="s">
        <v>308</v>
      </c>
      <c r="B2" s="33"/>
      <c r="C2" s="33"/>
      <c r="D2" s="33"/>
      <c r="E2" s="33"/>
      <c r="F2" s="33"/>
    </row>
    <row r="3" spans="1:9" ht="15" customHeight="1" x14ac:dyDescent="0.25">
      <c r="A3" s="208" t="s">
        <v>119</v>
      </c>
      <c r="B3" s="208"/>
      <c r="C3" s="208" t="s">
        <v>284</v>
      </c>
      <c r="D3" s="29" t="s">
        <v>121</v>
      </c>
      <c r="E3" s="27" t="s">
        <v>263</v>
      </c>
      <c r="F3" s="227" t="s">
        <v>123</v>
      </c>
    </row>
    <row r="4" spans="1:9" x14ac:dyDescent="0.25">
      <c r="A4" s="208"/>
      <c r="B4" s="208"/>
      <c r="C4" s="302"/>
      <c r="D4" s="29" t="s">
        <v>124</v>
      </c>
      <c r="E4" s="29" t="s">
        <v>264</v>
      </c>
      <c r="F4" s="227"/>
    </row>
    <row r="5" spans="1:9" x14ac:dyDescent="0.25">
      <c r="A5" s="263" t="s">
        <v>309</v>
      </c>
      <c r="B5" s="264"/>
      <c r="C5" s="171"/>
      <c r="D5" s="93">
        <v>0.59</v>
      </c>
      <c r="E5" s="119">
        <f>IF(C5=0,0,(IF((SUM(C5*D5)&lt;4),4,(SUM(C5*D5)))))</f>
        <v>0</v>
      </c>
      <c r="F5" s="94">
        <v>4</v>
      </c>
    </row>
    <row r="6" spans="1:9" x14ac:dyDescent="0.25">
      <c r="A6" s="263" t="s">
        <v>310</v>
      </c>
      <c r="B6" s="264"/>
      <c r="C6" s="171"/>
      <c r="D6" s="93">
        <v>0.64</v>
      </c>
      <c r="E6" s="119">
        <f>IF(C6=0,0,(IF((SUM(C6*D6)&lt;5),5,(SUM(C6*D6)))))</f>
        <v>0</v>
      </c>
      <c r="F6" s="94">
        <v>5</v>
      </c>
    </row>
    <row r="7" spans="1:9" ht="21" x14ac:dyDescent="0.35">
      <c r="A7" s="200" t="s">
        <v>266</v>
      </c>
      <c r="B7" s="200"/>
      <c r="C7" s="200"/>
      <c r="D7" s="200"/>
      <c r="E7" s="200"/>
      <c r="F7" s="200"/>
    </row>
    <row r="8" spans="1:9" x14ac:dyDescent="0.25">
      <c r="A8" s="6" t="s">
        <v>90</v>
      </c>
      <c r="B8" s="7"/>
      <c r="C8" s="1" t="s">
        <v>154</v>
      </c>
      <c r="D8" s="1" t="s">
        <v>81</v>
      </c>
      <c r="E8" s="1" t="s">
        <v>82</v>
      </c>
      <c r="F8" s="1" t="s">
        <v>83</v>
      </c>
    </row>
    <row r="9" spans="1:9" ht="30" x14ac:dyDescent="0.25">
      <c r="A9" s="11">
        <v>1</v>
      </c>
      <c r="B9" s="22" t="s">
        <v>311</v>
      </c>
      <c r="C9" s="170"/>
      <c r="D9" s="170"/>
      <c r="E9" s="170"/>
      <c r="F9" s="11"/>
    </row>
    <row r="10" spans="1:9" ht="30" x14ac:dyDescent="0.25">
      <c r="A10" s="12">
        <v>2</v>
      </c>
      <c r="B10" s="23" t="s">
        <v>93</v>
      </c>
      <c r="C10" s="170"/>
      <c r="D10" s="170"/>
      <c r="E10" s="170"/>
      <c r="F10" s="12"/>
    </row>
    <row r="11" spans="1:9" ht="30" x14ac:dyDescent="0.25">
      <c r="A11" s="11">
        <v>3</v>
      </c>
      <c r="B11" s="22" t="s">
        <v>95</v>
      </c>
      <c r="C11" s="187"/>
      <c r="D11" s="187"/>
      <c r="E11" s="187"/>
      <c r="F11" s="11"/>
    </row>
    <row r="12" spans="1:9" ht="30" x14ac:dyDescent="0.25">
      <c r="A12" s="12">
        <v>4</v>
      </c>
      <c r="B12" s="23" t="s">
        <v>96</v>
      </c>
      <c r="C12" s="188"/>
      <c r="D12" s="188"/>
      <c r="E12" s="188"/>
      <c r="F12" s="12"/>
    </row>
    <row r="13" spans="1:9" ht="30" x14ac:dyDescent="0.25">
      <c r="A13" s="11">
        <v>5</v>
      </c>
      <c r="B13" s="21" t="s">
        <v>156</v>
      </c>
      <c r="C13" s="164">
        <f>SUM(C11:C12)</f>
        <v>0</v>
      </c>
      <c r="D13" s="164">
        <f>SUM(D11:D12)</f>
        <v>0</v>
      </c>
      <c r="E13" s="164">
        <f>SUM(E11:E12)</f>
        <v>0</v>
      </c>
      <c r="F13" s="11" t="s">
        <v>98</v>
      </c>
      <c r="I13" t="s">
        <v>94</v>
      </c>
    </row>
    <row r="14" spans="1:9" x14ac:dyDescent="0.25">
      <c r="A14" s="12">
        <v>6</v>
      </c>
      <c r="B14" s="23" t="s">
        <v>99</v>
      </c>
      <c r="C14" s="164">
        <f>IFERROR(ROUND((C13/C10),2),0)</f>
        <v>0</v>
      </c>
      <c r="D14" s="164">
        <f>IFERROR(ROUND((D13/D10),2),0)</f>
        <v>0</v>
      </c>
      <c r="E14" s="164">
        <f>IFERROR(ROUND((E13/E10),2),0)</f>
        <v>0</v>
      </c>
      <c r="F14" s="36" t="s">
        <v>428</v>
      </c>
    </row>
    <row r="15" spans="1:9" ht="21" x14ac:dyDescent="0.35">
      <c r="A15" s="200" t="s">
        <v>157</v>
      </c>
      <c r="B15" s="200"/>
      <c r="C15" s="200"/>
      <c r="D15" s="200"/>
      <c r="E15" s="200"/>
      <c r="F15" s="200"/>
    </row>
    <row r="16" spans="1:9" ht="30" x14ac:dyDescent="0.25">
      <c r="A16" s="29" t="s">
        <v>102</v>
      </c>
      <c r="B16" s="27" t="s">
        <v>159</v>
      </c>
      <c r="C16" s="27" t="s">
        <v>160</v>
      </c>
      <c r="D16" s="27" t="s">
        <v>161</v>
      </c>
      <c r="E16" s="141" t="s">
        <v>277</v>
      </c>
      <c r="F16" s="139" t="s">
        <v>83</v>
      </c>
    </row>
    <row r="17" spans="1:6" ht="30" x14ac:dyDescent="0.25">
      <c r="A17" s="29" t="s">
        <v>107</v>
      </c>
      <c r="B17" s="27" t="s">
        <v>164</v>
      </c>
      <c r="C17" s="27" t="s">
        <v>174</v>
      </c>
      <c r="D17" s="27" t="s">
        <v>109</v>
      </c>
      <c r="E17" s="141" t="s">
        <v>482</v>
      </c>
      <c r="F17" s="139"/>
    </row>
    <row r="18" spans="1:6" ht="15" customHeight="1" x14ac:dyDescent="0.25">
      <c r="A18" s="8" t="s">
        <v>113</v>
      </c>
      <c r="B18" s="45">
        <f>ROUNDUP((IF((E6&gt;0),(SUM(E5:E6)),E5)),0)</f>
        <v>0</v>
      </c>
      <c r="C18" s="49">
        <f>C14</f>
        <v>0</v>
      </c>
      <c r="D18" s="88">
        <f>ROUNDUP((B18*C18),0)</f>
        <v>0</v>
      </c>
      <c r="E18" s="271">
        <f>IF((SUM(D18:D20))=0,0,145)</f>
        <v>0</v>
      </c>
      <c r="F18" s="142" t="s">
        <v>268</v>
      </c>
    </row>
    <row r="19" spans="1:6" x14ac:dyDescent="0.25">
      <c r="A19" s="15" t="s">
        <v>215</v>
      </c>
      <c r="B19" s="64">
        <v>2</v>
      </c>
      <c r="C19" s="49">
        <f>D14</f>
        <v>0</v>
      </c>
      <c r="D19" s="88">
        <f>ROUNDUP((B19*C19),0)</f>
        <v>0</v>
      </c>
      <c r="E19" s="271"/>
      <c r="F19" s="143" t="s">
        <v>312</v>
      </c>
    </row>
    <row r="20" spans="1:6" ht="15" customHeight="1" x14ac:dyDescent="0.25">
      <c r="A20" s="8" t="s">
        <v>217</v>
      </c>
      <c r="B20" s="64">
        <v>2</v>
      </c>
      <c r="C20" s="55">
        <f>E14</f>
        <v>0</v>
      </c>
      <c r="D20" s="88">
        <f>ROUNDUP((B20*C20),0)</f>
        <v>0</v>
      </c>
      <c r="E20" s="271"/>
      <c r="F20" s="142" t="s">
        <v>312</v>
      </c>
    </row>
    <row r="21" spans="1:6" ht="21" x14ac:dyDescent="0.35">
      <c r="A21" s="200" t="s">
        <v>169</v>
      </c>
      <c r="B21" s="200"/>
      <c r="C21" s="200"/>
      <c r="D21" s="200"/>
      <c r="E21" s="200"/>
      <c r="F21" s="200"/>
    </row>
    <row r="22" spans="1:6" ht="15" customHeight="1" x14ac:dyDescent="0.25">
      <c r="A22" s="1" t="s">
        <v>102</v>
      </c>
      <c r="B22" s="27" t="s">
        <v>170</v>
      </c>
      <c r="C22" s="27" t="s">
        <v>160</v>
      </c>
      <c r="D22" s="27" t="s">
        <v>171</v>
      </c>
      <c r="E22" s="29" t="s">
        <v>172</v>
      </c>
      <c r="F22" s="208" t="s">
        <v>83</v>
      </c>
    </row>
    <row r="23" spans="1:6" ht="30" x14ac:dyDescent="0.25">
      <c r="A23" s="1" t="s">
        <v>107</v>
      </c>
      <c r="B23" s="27" t="s">
        <v>444</v>
      </c>
      <c r="C23" s="27" t="s">
        <v>174</v>
      </c>
      <c r="D23" s="29" t="s">
        <v>175</v>
      </c>
      <c r="E23" s="29" t="s">
        <v>425</v>
      </c>
      <c r="F23" s="208"/>
    </row>
    <row r="24" spans="1:6" ht="30" x14ac:dyDescent="0.25">
      <c r="A24" s="24" t="s">
        <v>113</v>
      </c>
      <c r="B24" s="179"/>
      <c r="C24" s="43">
        <f>C14</f>
        <v>0</v>
      </c>
      <c r="D24" s="43">
        <f>ROUNDUP((B24*C24),0)</f>
        <v>0</v>
      </c>
      <c r="E24" s="173"/>
      <c r="F24" s="22" t="s">
        <v>177</v>
      </c>
    </row>
    <row r="25" spans="1:6" ht="21" x14ac:dyDescent="0.35">
      <c r="A25" s="200" t="s">
        <v>221</v>
      </c>
      <c r="B25" s="200"/>
      <c r="C25" s="200"/>
      <c r="D25" s="200"/>
      <c r="E25" s="200"/>
      <c r="F25" s="200"/>
    </row>
    <row r="26" spans="1:6" ht="15" customHeight="1" x14ac:dyDescent="0.25">
      <c r="A26" s="29"/>
      <c r="B26" s="29"/>
      <c r="C26" s="27" t="s">
        <v>222</v>
      </c>
      <c r="D26" s="225" t="s">
        <v>83</v>
      </c>
      <c r="E26" s="225"/>
      <c r="F26" s="225"/>
    </row>
    <row r="27" spans="1:6" ht="15" customHeight="1" x14ac:dyDescent="0.25">
      <c r="A27" s="11">
        <v>1</v>
      </c>
      <c r="B27" s="22" t="s">
        <v>313</v>
      </c>
      <c r="C27" s="171"/>
      <c r="D27" s="247" t="s">
        <v>224</v>
      </c>
      <c r="E27" s="248"/>
      <c r="F27" s="248"/>
    </row>
    <row r="28" spans="1:6" x14ac:dyDescent="0.25">
      <c r="A28" s="12">
        <v>2</v>
      </c>
      <c r="B28" s="23" t="s">
        <v>289</v>
      </c>
      <c r="C28" s="171"/>
      <c r="D28" s="249" t="s">
        <v>290</v>
      </c>
      <c r="E28" s="250"/>
      <c r="F28" s="250"/>
    </row>
    <row r="29" spans="1:6" ht="21" x14ac:dyDescent="0.35">
      <c r="A29" s="200" t="s">
        <v>314</v>
      </c>
      <c r="B29" s="200"/>
      <c r="C29" s="200"/>
      <c r="D29" s="200"/>
      <c r="E29" s="200"/>
      <c r="F29" s="200"/>
    </row>
    <row r="30" spans="1:6" x14ac:dyDescent="0.25">
      <c r="A30" s="241" t="s">
        <v>179</v>
      </c>
      <c r="B30" s="241"/>
      <c r="C30" s="241"/>
      <c r="D30" s="241"/>
      <c r="E30" s="241"/>
      <c r="F30" s="60">
        <f>SUM(D18:D20)</f>
        <v>0</v>
      </c>
    </row>
    <row r="31" spans="1:6" x14ac:dyDescent="0.25">
      <c r="A31" s="59"/>
      <c r="B31" s="59"/>
      <c r="C31" s="59"/>
      <c r="D31" s="59"/>
      <c r="E31" s="59" t="s">
        <v>227</v>
      </c>
      <c r="F31" s="60">
        <f>D24+E24</f>
        <v>0</v>
      </c>
    </row>
    <row r="32" spans="1:6" ht="15.75" thickBot="1" x14ac:dyDescent="0.3">
      <c r="A32" s="241" t="s">
        <v>228</v>
      </c>
      <c r="B32" s="241"/>
      <c r="C32" s="241"/>
      <c r="D32" s="241"/>
      <c r="E32" s="241"/>
      <c r="F32" s="60">
        <f>C28*250</f>
        <v>0</v>
      </c>
    </row>
    <row r="33" spans="1:6" ht="19.5" thickBot="1" x14ac:dyDescent="0.35">
      <c r="A33" s="220" t="s">
        <v>315</v>
      </c>
      <c r="B33" s="220"/>
      <c r="C33" s="220"/>
      <c r="D33" s="220"/>
      <c r="E33" s="221"/>
      <c r="F33" s="40">
        <f>ROUNDUP((SUM(F30:F32)),0)</f>
        <v>0</v>
      </c>
    </row>
  </sheetData>
  <sheetProtection algorithmName="SHA-512" hashValue="rsbCkxCau95WgdzQALrhQheCT033uOPF608J8k2raHmaqWiM1fPrsiocSfS7vgJyYUAgahzIw3h3mDjLey8EBQ==" saltValue="NLVM6AtgobnyiRxxL6Lsig==" spinCount="100000" sheet="1" objects="1" scenarios="1" formatCells="0" formatColumns="0" formatRows="0" insertColumns="0" insertRows="0" insertHyperlinks="0" deleteColumns="0" deleteRows="0"/>
  <mergeCells count="19">
    <mergeCell ref="A1:F1"/>
    <mergeCell ref="A7:F7"/>
    <mergeCell ref="A21:F21"/>
    <mergeCell ref="A15:F15"/>
    <mergeCell ref="A3:B4"/>
    <mergeCell ref="A5:B5"/>
    <mergeCell ref="A6:B6"/>
    <mergeCell ref="F3:F4"/>
    <mergeCell ref="C3:C4"/>
    <mergeCell ref="E18:E20"/>
    <mergeCell ref="F22:F23"/>
    <mergeCell ref="A32:E32"/>
    <mergeCell ref="A33:E33"/>
    <mergeCell ref="D28:F28"/>
    <mergeCell ref="A25:F25"/>
    <mergeCell ref="D26:F26"/>
    <mergeCell ref="D27:F27"/>
    <mergeCell ref="A29:F29"/>
    <mergeCell ref="A30:E30"/>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F5C9F-7510-4AED-AF8E-9AA1449F98D5}">
  <dimension ref="A1:E14"/>
  <sheetViews>
    <sheetView zoomScaleNormal="100" workbookViewId="0">
      <selection activeCell="A5" sqref="A5:E5"/>
    </sheetView>
  </sheetViews>
  <sheetFormatPr defaultRowHeight="15" x14ac:dyDescent="0.25"/>
  <cols>
    <col min="1" max="1" width="7.42578125" customWidth="1"/>
    <col min="2" max="2" width="44.7109375" customWidth="1"/>
    <col min="3" max="3" width="38.5703125" customWidth="1"/>
    <col min="5" max="5" width="10.7109375" bestFit="1" customWidth="1"/>
    <col min="6" max="6" width="20" bestFit="1" customWidth="1"/>
  </cols>
  <sheetData>
    <row r="1" spans="1:5" ht="30" customHeight="1" x14ac:dyDescent="0.45">
      <c r="A1" s="202" t="s">
        <v>316</v>
      </c>
      <c r="B1" s="202"/>
      <c r="C1" s="202"/>
      <c r="D1" s="202"/>
      <c r="E1" s="202"/>
    </row>
    <row r="2" spans="1:5" ht="21" x14ac:dyDescent="0.35">
      <c r="A2" s="200" t="s">
        <v>317</v>
      </c>
      <c r="B2" s="200"/>
      <c r="C2" s="200"/>
      <c r="D2" s="200"/>
      <c r="E2" s="200"/>
    </row>
    <row r="3" spans="1:5" x14ac:dyDescent="0.25">
      <c r="A3" s="6"/>
      <c r="B3" s="6"/>
      <c r="C3" s="6"/>
      <c r="D3" s="6"/>
      <c r="E3" s="6"/>
    </row>
    <row r="4" spans="1:5" ht="67.5" customHeight="1" x14ac:dyDescent="0.25">
      <c r="A4" s="303" t="s">
        <v>318</v>
      </c>
      <c r="B4" s="303"/>
      <c r="C4" s="303"/>
      <c r="D4" s="303"/>
      <c r="E4" s="189">
        <v>0</v>
      </c>
    </row>
    <row r="5" spans="1:5" ht="21.75" thickBot="1" x14ac:dyDescent="0.4">
      <c r="A5" s="200" t="s">
        <v>319</v>
      </c>
      <c r="B5" s="200"/>
      <c r="C5" s="200"/>
      <c r="D5" s="200"/>
      <c r="E5" s="200"/>
    </row>
    <row r="6" spans="1:5" ht="19.5" thickBot="1" x14ac:dyDescent="0.35">
      <c r="A6" s="220" t="s">
        <v>320</v>
      </c>
      <c r="B6" s="220"/>
      <c r="C6" s="220"/>
      <c r="D6" s="221"/>
      <c r="E6" s="144">
        <f>SUM(E4)</f>
        <v>0</v>
      </c>
    </row>
    <row r="14" spans="1:5" x14ac:dyDescent="0.25">
      <c r="C14" s="28"/>
    </row>
  </sheetData>
  <mergeCells count="5">
    <mergeCell ref="A5:E5"/>
    <mergeCell ref="A6:D6"/>
    <mergeCell ref="A2:E2"/>
    <mergeCell ref="A1:E1"/>
    <mergeCell ref="A4:D4"/>
  </mergeCells>
  <dataValidations count="1">
    <dataValidation type="list" allowBlank="1" showInputMessage="1" showErrorMessage="1" promptTitle="PNN" prompt="Did you participate in PNN?" sqref="E4" xr:uid="{AC13CE5E-ABEE-4F58-9E58-369D12102B94}">
      <formula1>"$0, $100"</formula1>
    </dataValidation>
  </dataValidations>
  <pageMargins left="0.7" right="0.7" top="0.75" bottom="0.75" header="0.3" footer="0.3"/>
  <pageSetup orientation="portrait" horizontalDpi="0"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87B1EF-606D-4552-9487-C0A4663103C7}">
  <dimension ref="A1:G28"/>
  <sheetViews>
    <sheetView tabSelected="1" topLeftCell="B1" zoomScaleNormal="100" workbookViewId="0">
      <selection activeCell="E18" sqref="E18:E20"/>
    </sheetView>
  </sheetViews>
  <sheetFormatPr defaultRowHeight="15" x14ac:dyDescent="0.25"/>
  <cols>
    <col min="1" max="1" width="19.28515625" bestFit="1" customWidth="1"/>
    <col min="2" max="2" width="42.7109375" customWidth="1"/>
    <col min="3" max="3" width="23.5703125" bestFit="1" customWidth="1"/>
    <col min="4" max="4" width="21.42578125" bestFit="1" customWidth="1"/>
    <col min="5" max="5" width="45" bestFit="1" customWidth="1"/>
    <col min="6" max="6" width="48.7109375" bestFit="1" customWidth="1"/>
  </cols>
  <sheetData>
    <row r="1" spans="1:7" ht="30" customHeight="1" x14ac:dyDescent="0.45">
      <c r="A1" s="202" t="s">
        <v>321</v>
      </c>
      <c r="B1" s="202"/>
      <c r="C1" s="202"/>
      <c r="D1" s="202"/>
      <c r="E1" s="202"/>
      <c r="F1" s="202"/>
    </row>
    <row r="2" spans="1:7" ht="20.25" customHeight="1" x14ac:dyDescent="0.35">
      <c r="A2" s="33" t="s">
        <v>322</v>
      </c>
      <c r="B2" s="33"/>
      <c r="C2" s="33"/>
      <c r="D2" s="33"/>
      <c r="E2" s="33"/>
      <c r="F2" s="33"/>
    </row>
    <row r="3" spans="1:7" ht="15" customHeight="1" x14ac:dyDescent="0.25">
      <c r="A3" s="208" t="s">
        <v>119</v>
      </c>
      <c r="B3" s="208"/>
      <c r="C3" s="208" t="s">
        <v>284</v>
      </c>
      <c r="D3" s="29" t="s">
        <v>121</v>
      </c>
      <c r="E3" s="27" t="s">
        <v>263</v>
      </c>
      <c r="F3" s="27" t="s">
        <v>433</v>
      </c>
    </row>
    <row r="4" spans="1:7" x14ac:dyDescent="0.25">
      <c r="A4" s="208"/>
      <c r="B4" s="208"/>
      <c r="C4" s="208"/>
      <c r="D4" s="29" t="s">
        <v>124</v>
      </c>
      <c r="E4" s="29" t="s">
        <v>264</v>
      </c>
      <c r="F4" s="133" t="s">
        <v>445</v>
      </c>
    </row>
    <row r="5" spans="1:7" x14ac:dyDescent="0.25">
      <c r="A5" s="261" t="s">
        <v>323</v>
      </c>
      <c r="B5" s="262"/>
      <c r="C5" s="190"/>
      <c r="D5" s="64">
        <v>0.98</v>
      </c>
      <c r="E5" s="119">
        <f>IF(C5=0,0,(IF((SUM(C5*D5)&lt;6),6,(SUM(C5*D5)))))</f>
        <v>0</v>
      </c>
      <c r="F5" s="47">
        <v>6</v>
      </c>
    </row>
    <row r="6" spans="1:7" x14ac:dyDescent="0.25">
      <c r="A6" s="263" t="s">
        <v>324</v>
      </c>
      <c r="B6" s="264"/>
      <c r="C6" s="191"/>
      <c r="D6" s="90">
        <v>0.81</v>
      </c>
      <c r="E6" s="119">
        <f>IF(C6=0,0,(IF((SUM(C6*D6)&lt;4),4,(SUM(C6*D6)))))</f>
        <v>0</v>
      </c>
      <c r="F6" s="96">
        <v>4</v>
      </c>
    </row>
    <row r="7" spans="1:7" ht="21" x14ac:dyDescent="0.35">
      <c r="A7" s="200" t="s">
        <v>266</v>
      </c>
      <c r="B7" s="200"/>
      <c r="C7" s="200"/>
      <c r="D7" s="200"/>
      <c r="E7" s="200"/>
      <c r="F7" s="200"/>
    </row>
    <row r="8" spans="1:7" x14ac:dyDescent="0.25">
      <c r="A8" s="6" t="s">
        <v>90</v>
      </c>
      <c r="B8" s="7"/>
      <c r="C8" s="1" t="s">
        <v>154</v>
      </c>
      <c r="D8" s="1" t="s">
        <v>81</v>
      </c>
      <c r="E8" s="1" t="s">
        <v>82</v>
      </c>
      <c r="F8" s="1" t="s">
        <v>83</v>
      </c>
    </row>
    <row r="9" spans="1:7" ht="30" x14ac:dyDescent="0.25">
      <c r="A9" s="11">
        <v>1</v>
      </c>
      <c r="B9" s="22" t="s">
        <v>325</v>
      </c>
      <c r="C9" s="170"/>
      <c r="D9" s="170"/>
      <c r="E9" s="170"/>
      <c r="F9" s="11"/>
    </row>
    <row r="10" spans="1:7" ht="30" x14ac:dyDescent="0.25">
      <c r="A10" s="12">
        <v>2</v>
      </c>
      <c r="B10" s="23" t="s">
        <v>93</v>
      </c>
      <c r="C10" s="170"/>
      <c r="D10" s="170"/>
      <c r="E10" s="170"/>
      <c r="F10" s="12"/>
    </row>
    <row r="11" spans="1:7" ht="30" x14ac:dyDescent="0.25">
      <c r="A11" s="11">
        <v>3</v>
      </c>
      <c r="B11" s="22" t="s">
        <v>95</v>
      </c>
      <c r="C11" s="172"/>
      <c r="D11" s="172"/>
      <c r="E11" s="172"/>
      <c r="F11" s="11"/>
    </row>
    <row r="12" spans="1:7" ht="30" x14ac:dyDescent="0.25">
      <c r="A12" s="12">
        <v>4</v>
      </c>
      <c r="B12" s="23" t="s">
        <v>96</v>
      </c>
      <c r="C12" s="173"/>
      <c r="D12" s="173"/>
      <c r="E12" s="173"/>
      <c r="F12" s="12"/>
    </row>
    <row r="13" spans="1:7" ht="30" x14ac:dyDescent="0.25">
      <c r="A13" s="11">
        <v>5</v>
      </c>
      <c r="B13" s="21" t="s">
        <v>156</v>
      </c>
      <c r="C13" s="164">
        <f>SUM(C11:C12)</f>
        <v>0</v>
      </c>
      <c r="D13" s="164">
        <f>SUM(D11:D12)</f>
        <v>0</v>
      </c>
      <c r="E13" s="164">
        <f>SUM(E11:E12)</f>
        <v>0</v>
      </c>
      <c r="F13" s="11" t="s">
        <v>98</v>
      </c>
      <c r="G13" t="s">
        <v>94</v>
      </c>
    </row>
    <row r="14" spans="1:7" x14ac:dyDescent="0.25">
      <c r="A14" s="12">
        <v>6</v>
      </c>
      <c r="B14" s="23" t="s">
        <v>99</v>
      </c>
      <c r="C14" s="164">
        <f>IFERROR(ROUND((C13/C10),2),0)</f>
        <v>0</v>
      </c>
      <c r="D14" s="164">
        <f>IFERROR(ROUND((D13/D10),2),0)</f>
        <v>0</v>
      </c>
      <c r="E14" s="164">
        <f>IFERROR(ROUND((E13/E10),2),0)</f>
        <v>0</v>
      </c>
      <c r="F14" s="36" t="s">
        <v>428</v>
      </c>
    </row>
    <row r="15" spans="1:7" ht="21" x14ac:dyDescent="0.35">
      <c r="A15" s="200" t="s">
        <v>157</v>
      </c>
      <c r="B15" s="200"/>
      <c r="C15" s="200"/>
      <c r="D15" s="200"/>
      <c r="E15" s="200"/>
      <c r="F15" s="200"/>
    </row>
    <row r="16" spans="1:7" ht="30" x14ac:dyDescent="0.25">
      <c r="A16" s="29" t="s">
        <v>102</v>
      </c>
      <c r="B16" s="27" t="s">
        <v>159</v>
      </c>
      <c r="C16" s="27" t="s">
        <v>160</v>
      </c>
      <c r="D16" s="27" t="s">
        <v>161</v>
      </c>
      <c r="E16" s="27" t="s">
        <v>277</v>
      </c>
      <c r="F16" s="208" t="s">
        <v>83</v>
      </c>
    </row>
    <row r="17" spans="1:6" ht="30" x14ac:dyDescent="0.25">
      <c r="A17" s="29" t="s">
        <v>107</v>
      </c>
      <c r="B17" s="27" t="s">
        <v>164</v>
      </c>
      <c r="C17" s="27" t="s">
        <v>174</v>
      </c>
      <c r="D17" s="27" t="s">
        <v>109</v>
      </c>
      <c r="E17" s="29" t="s">
        <v>483</v>
      </c>
      <c r="F17" s="208"/>
    </row>
    <row r="18" spans="1:6" x14ac:dyDescent="0.25">
      <c r="A18" s="8" t="s">
        <v>113</v>
      </c>
      <c r="B18" s="163">
        <f>ROUND((SUM(E5:E6)),0)</f>
        <v>0</v>
      </c>
      <c r="C18" s="49">
        <f>C14</f>
        <v>0</v>
      </c>
      <c r="D18" s="88">
        <f>ROUNDUP((B18*C18),0)</f>
        <v>0</v>
      </c>
      <c r="E18" s="304">
        <f>IF((SUM(D18:D20))=0,0,185)</f>
        <v>0</v>
      </c>
      <c r="F18" s="51" t="s">
        <v>326</v>
      </c>
    </row>
    <row r="19" spans="1:6" x14ac:dyDescent="0.25">
      <c r="A19" s="15" t="s">
        <v>215</v>
      </c>
      <c r="B19" s="64">
        <v>2</v>
      </c>
      <c r="C19" s="49">
        <f>D14</f>
        <v>0</v>
      </c>
      <c r="D19" s="88">
        <f>ROUNDUP((B19*C19),0)</f>
        <v>0</v>
      </c>
      <c r="E19" s="304"/>
      <c r="F19" s="61" t="s">
        <v>312</v>
      </c>
    </row>
    <row r="20" spans="1:6" x14ac:dyDescent="0.25">
      <c r="A20" s="8" t="s">
        <v>217</v>
      </c>
      <c r="B20" s="64">
        <v>2</v>
      </c>
      <c r="C20" s="55">
        <f>E14</f>
        <v>0</v>
      </c>
      <c r="D20" s="88">
        <f>ROUNDUP((B20*C20),0)</f>
        <v>0</v>
      </c>
      <c r="E20" s="304"/>
      <c r="F20" s="11" t="s">
        <v>312</v>
      </c>
    </row>
    <row r="21" spans="1:6" ht="21" x14ac:dyDescent="0.35">
      <c r="A21" s="200" t="s">
        <v>169</v>
      </c>
      <c r="B21" s="200"/>
      <c r="C21" s="200"/>
      <c r="D21" s="200"/>
      <c r="E21" s="200"/>
      <c r="F21" s="200"/>
    </row>
    <row r="22" spans="1:6" ht="15" customHeight="1" x14ac:dyDescent="0.25">
      <c r="A22" s="1" t="s">
        <v>102</v>
      </c>
      <c r="B22" s="27" t="s">
        <v>170</v>
      </c>
      <c r="C22" s="27" t="s">
        <v>160</v>
      </c>
      <c r="D22" s="27" t="s">
        <v>171</v>
      </c>
      <c r="E22" s="29" t="s">
        <v>172</v>
      </c>
      <c r="F22" s="208" t="s">
        <v>83</v>
      </c>
    </row>
    <row r="23" spans="1:6" ht="30" x14ac:dyDescent="0.25">
      <c r="A23" s="1" t="s">
        <v>107</v>
      </c>
      <c r="B23" s="27" t="s">
        <v>327</v>
      </c>
      <c r="C23" s="27" t="s">
        <v>174</v>
      </c>
      <c r="D23" s="29" t="s">
        <v>175</v>
      </c>
      <c r="E23" s="29" t="s">
        <v>328</v>
      </c>
      <c r="F23" s="208"/>
    </row>
    <row r="24" spans="1:6" ht="30" x14ac:dyDescent="0.25">
      <c r="A24" s="24" t="s">
        <v>113</v>
      </c>
      <c r="B24" s="170"/>
      <c r="C24" s="43">
        <f>C14</f>
        <v>0</v>
      </c>
      <c r="D24" s="43">
        <f>ROUNDUP((B24*C24),0)</f>
        <v>0</v>
      </c>
      <c r="E24" s="173"/>
      <c r="F24" s="22" t="s">
        <v>177</v>
      </c>
    </row>
    <row r="25" spans="1:6" ht="21" x14ac:dyDescent="0.35">
      <c r="A25" s="200" t="s">
        <v>329</v>
      </c>
      <c r="B25" s="200"/>
      <c r="C25" s="200"/>
      <c r="D25" s="200"/>
      <c r="E25" s="200"/>
      <c r="F25" s="200"/>
    </row>
    <row r="26" spans="1:6" x14ac:dyDescent="0.25">
      <c r="A26" s="241" t="s">
        <v>179</v>
      </c>
      <c r="B26" s="241"/>
      <c r="C26" s="241"/>
      <c r="D26" s="241"/>
      <c r="E26" s="241"/>
      <c r="F26" s="60">
        <f>(SUM(D18:D20))+E18</f>
        <v>0</v>
      </c>
    </row>
    <row r="27" spans="1:6" ht="15.75" thickBot="1" x14ac:dyDescent="0.3">
      <c r="A27" s="59"/>
      <c r="B27" s="59"/>
      <c r="C27" s="59"/>
      <c r="D27" s="59"/>
      <c r="E27" s="59" t="s">
        <v>227</v>
      </c>
      <c r="F27" s="60">
        <f>D24+E24</f>
        <v>0</v>
      </c>
    </row>
    <row r="28" spans="1:6" ht="19.5" thickBot="1" x14ac:dyDescent="0.35">
      <c r="A28" s="220" t="s">
        <v>330</v>
      </c>
      <c r="B28" s="220"/>
      <c r="C28" s="220"/>
      <c r="D28" s="220"/>
      <c r="E28" s="221"/>
      <c r="F28" s="40">
        <f>ROUNDUP((SUM(F26:F27)),0)</f>
        <v>0</v>
      </c>
    </row>
  </sheetData>
  <sheetProtection algorithmName="SHA-512" hashValue="5oz/In4A4wVKFKOX5HRT7OX0vbE0CP2Pn/POiHFjUjV1VWku0/UnB6x6ZmWRVdRMstdWR8LuF25i/afUy+spkQ==" saltValue="o5BesKw7Q5SCpn+Xa09yEA==" spinCount="100000" sheet="1" objects="1" scenarios="1" formatCells="0" formatColumns="0" formatRows="0" insertColumns="0" insertRows="0" insertHyperlinks="0" deleteColumns="0" deleteRows="0"/>
  <mergeCells count="14">
    <mergeCell ref="A1:F1"/>
    <mergeCell ref="A7:F7"/>
    <mergeCell ref="A15:F15"/>
    <mergeCell ref="E18:E20"/>
    <mergeCell ref="F16:F17"/>
    <mergeCell ref="A5:B5"/>
    <mergeCell ref="A6:B6"/>
    <mergeCell ref="C3:C4"/>
    <mergeCell ref="A3:B4"/>
    <mergeCell ref="A28:E28"/>
    <mergeCell ref="F22:F23"/>
    <mergeCell ref="A25:F25"/>
    <mergeCell ref="A26:E26"/>
    <mergeCell ref="A21:F2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533AC7-3849-403B-9619-91175CB168B4}">
  <sheetPr>
    <tabColor rgb="FFFFFF00"/>
  </sheetPr>
  <dimension ref="A1:B10"/>
  <sheetViews>
    <sheetView zoomScaleNormal="100" workbookViewId="0">
      <selection activeCell="B5" sqref="B5"/>
    </sheetView>
  </sheetViews>
  <sheetFormatPr defaultRowHeight="15" x14ac:dyDescent="0.25"/>
  <cols>
    <col min="1" max="1" width="19.28515625" bestFit="1" customWidth="1"/>
    <col min="2" max="2" width="77.28515625" customWidth="1"/>
  </cols>
  <sheetData>
    <row r="1" spans="1:2" ht="30" customHeight="1" x14ac:dyDescent="0.45">
      <c r="A1" s="203" t="s">
        <v>0</v>
      </c>
      <c r="B1" s="204"/>
    </row>
    <row r="2" spans="1:2" ht="21" x14ac:dyDescent="0.35">
      <c r="A2" s="199" t="s">
        <v>23</v>
      </c>
      <c r="B2" s="200"/>
    </row>
    <row r="3" spans="1:2" s="72" customFormat="1" ht="15.95" customHeight="1" x14ac:dyDescent="0.25">
      <c r="A3" s="71"/>
      <c r="B3" s="71" t="s">
        <v>2</v>
      </c>
    </row>
    <row r="4" spans="1:2" x14ac:dyDescent="0.25">
      <c r="A4" s="8" t="s">
        <v>24</v>
      </c>
      <c r="B4" s="166"/>
    </row>
    <row r="5" spans="1:2" x14ac:dyDescent="0.25">
      <c r="A5" t="s">
        <v>25</v>
      </c>
      <c r="B5" s="166"/>
    </row>
    <row r="6" spans="1:2" x14ac:dyDescent="0.25">
      <c r="A6" s="8" t="s">
        <v>26</v>
      </c>
      <c r="B6" s="166"/>
    </row>
    <row r="7" spans="1:2" x14ac:dyDescent="0.25">
      <c r="A7" t="s">
        <v>27</v>
      </c>
      <c r="B7" s="166"/>
    </row>
    <row r="8" spans="1:2" x14ac:dyDescent="0.25">
      <c r="A8" s="8" t="s">
        <v>28</v>
      </c>
      <c r="B8" s="166"/>
    </row>
    <row r="9" spans="1:2" x14ac:dyDescent="0.25">
      <c r="A9" t="s">
        <v>29</v>
      </c>
      <c r="B9" s="166"/>
    </row>
    <row r="10" spans="1:2" x14ac:dyDescent="0.25">
      <c r="A10" s="8" t="s">
        <v>30</v>
      </c>
      <c r="B10" s="166"/>
    </row>
  </sheetData>
  <sheetProtection algorithmName="SHA-512" hashValue="45+uB81B4wwUnDJLMKkMlGxuvY7yBnPdLoWIzti/x8HDxPvza78GRAIyPJVHCQNzEMT/CHui9M33snmY65dQlQ==" saltValue="LvA7WxNl/lHfRUIIeFbgoQ==" spinCount="100000" sheet="1" objects="1" scenarios="1" formatCells="0" formatColumns="0" formatRows="0" insertColumns="0" insertRows="0" deleteColumns="0" deleteRows="0"/>
  <mergeCells count="2">
    <mergeCell ref="A1:B1"/>
    <mergeCell ref="A2:B2"/>
  </mergeCells>
  <pageMargins left="0.7" right="0.7" top="0.75" bottom="0.75" header="0.3" footer="0.3"/>
  <tableParts count="1">
    <tablePart r:id="rId1"/>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539DD-0DC9-46EF-9658-927C4E08AFD3}">
  <dimension ref="A1:D9"/>
  <sheetViews>
    <sheetView zoomScaleNormal="100" workbookViewId="0">
      <selection activeCell="D15" sqref="D15"/>
    </sheetView>
  </sheetViews>
  <sheetFormatPr defaultRowHeight="15" x14ac:dyDescent="0.25"/>
  <cols>
    <col min="1" max="1" width="7.42578125" customWidth="1"/>
    <col min="2" max="2" width="44.7109375" customWidth="1"/>
    <col min="3" max="3" width="45.42578125" customWidth="1"/>
    <col min="4" max="4" width="72" bestFit="1" customWidth="1"/>
  </cols>
  <sheetData>
    <row r="1" spans="1:4" ht="30" customHeight="1" x14ac:dyDescent="0.45">
      <c r="A1" s="202" t="s">
        <v>331</v>
      </c>
      <c r="B1" s="202"/>
      <c r="C1" s="202"/>
      <c r="D1" s="202"/>
    </row>
    <row r="2" spans="1:4" ht="21" x14ac:dyDescent="0.35">
      <c r="A2" s="200" t="s">
        <v>332</v>
      </c>
      <c r="B2" s="200"/>
      <c r="C2" s="200"/>
      <c r="D2" s="200"/>
    </row>
    <row r="3" spans="1:4" x14ac:dyDescent="0.25">
      <c r="A3" s="6"/>
      <c r="B3" s="7"/>
      <c r="C3" s="1" t="s">
        <v>333</v>
      </c>
      <c r="D3" s="1" t="s">
        <v>83</v>
      </c>
    </row>
    <row r="4" spans="1:4" ht="15" customHeight="1" x14ac:dyDescent="0.25">
      <c r="A4" s="11">
        <v>1</v>
      </c>
      <c r="B4" s="22" t="s">
        <v>334</v>
      </c>
      <c r="C4" s="171"/>
      <c r="D4" s="22"/>
    </row>
    <row r="5" spans="1:4" x14ac:dyDescent="0.25">
      <c r="A5" s="12">
        <v>2</v>
      </c>
      <c r="B5" s="23" t="s">
        <v>335</v>
      </c>
      <c r="C5" s="192"/>
      <c r="D5" s="15" t="s">
        <v>336</v>
      </c>
    </row>
    <row r="6" spans="1:4" x14ac:dyDescent="0.25">
      <c r="A6" s="11">
        <v>3</v>
      </c>
      <c r="B6" s="22" t="s">
        <v>337</v>
      </c>
      <c r="C6" s="171"/>
      <c r="D6" s="22"/>
    </row>
    <row r="7" spans="1:4" x14ac:dyDescent="0.25">
      <c r="A7" s="12">
        <v>4</v>
      </c>
      <c r="B7" s="115" t="s">
        <v>338</v>
      </c>
      <c r="C7" s="192"/>
      <c r="D7" s="15" t="s">
        <v>339</v>
      </c>
    </row>
    <row r="8" spans="1:4" ht="21.75" thickBot="1" x14ac:dyDescent="0.4">
      <c r="A8" s="200" t="s">
        <v>340</v>
      </c>
      <c r="B8" s="200"/>
      <c r="C8" s="200"/>
      <c r="D8" s="200"/>
    </row>
    <row r="9" spans="1:4" ht="19.5" thickBot="1" x14ac:dyDescent="0.35">
      <c r="A9" s="220" t="s">
        <v>341</v>
      </c>
      <c r="B9" s="220"/>
      <c r="C9" s="221"/>
      <c r="D9" s="40">
        <f>ROUNDUP((SUM(C5+C7)),0)</f>
        <v>0</v>
      </c>
    </row>
  </sheetData>
  <sheetProtection algorithmName="SHA-512" hashValue="k0eaCKQ8bztM/R65fDODnrpHv51+ierWpjDr7UL7NMI5GjJfebB4TCmu4wuX4dW7x/cSui/1OWqnzaIhSjqVCw==" saltValue="AJ7n8eaFNoGc/K5hM24Rkw==" spinCount="100000" sheet="1" objects="1" scenarios="1" formatCells="0" formatColumns="0" formatRows="0" insertColumns="0" insertRows="0" insertHyperlinks="0" deleteColumns="0" deleteRows="0"/>
  <mergeCells count="4">
    <mergeCell ref="A8:D8"/>
    <mergeCell ref="A9:C9"/>
    <mergeCell ref="A2:D2"/>
    <mergeCell ref="A1:D1"/>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4EEADD-C6B9-456B-A8EC-9DD87716711A}">
  <dimension ref="A1:E26"/>
  <sheetViews>
    <sheetView zoomScaleNormal="100" workbookViewId="0">
      <selection activeCell="A5" sqref="A5:E5"/>
    </sheetView>
  </sheetViews>
  <sheetFormatPr defaultRowHeight="15" x14ac:dyDescent="0.25"/>
  <cols>
    <col min="1" max="1" width="19.5703125" customWidth="1"/>
    <col min="2" max="2" width="26.5703125" bestFit="1" customWidth="1"/>
    <col min="3" max="3" width="30.85546875" customWidth="1"/>
    <col min="4" max="5" width="38.28515625" customWidth="1"/>
  </cols>
  <sheetData>
    <row r="1" spans="1:5" ht="30" customHeight="1" x14ac:dyDescent="0.45">
      <c r="A1" s="85" t="s">
        <v>342</v>
      </c>
      <c r="B1" s="85"/>
      <c r="C1" s="85"/>
      <c r="D1" s="85"/>
      <c r="E1" s="85"/>
    </row>
    <row r="2" spans="1:5" ht="21" x14ac:dyDescent="0.35">
      <c r="A2" s="200" t="s">
        <v>343</v>
      </c>
      <c r="B2" s="200"/>
      <c r="C2" s="200"/>
      <c r="D2" s="200"/>
      <c r="E2" s="200"/>
    </row>
    <row r="3" spans="1:5" x14ac:dyDescent="0.25">
      <c r="A3" s="7"/>
      <c r="B3" s="1" t="s">
        <v>344</v>
      </c>
      <c r="C3" s="1" t="s">
        <v>345</v>
      </c>
      <c r="D3" s="225" t="s">
        <v>83</v>
      </c>
      <c r="E3" s="225"/>
    </row>
    <row r="4" spans="1:5" ht="15" customHeight="1" x14ac:dyDescent="0.25">
      <c r="A4" s="22" t="s">
        <v>346</v>
      </c>
      <c r="B4" s="116">
        <f>'Prep- Enrollment'!B4</f>
        <v>0</v>
      </c>
      <c r="C4" s="116">
        <f>SUM('Prep- Enrollment'!B5:B6)</f>
        <v>0</v>
      </c>
      <c r="D4" s="247" t="s">
        <v>347</v>
      </c>
      <c r="E4" s="296"/>
    </row>
    <row r="5" spans="1:5" ht="21" x14ac:dyDescent="0.35">
      <c r="A5" s="200" t="s">
        <v>99</v>
      </c>
      <c r="B5" s="200"/>
      <c r="C5" s="200"/>
      <c r="D5" s="200"/>
      <c r="E5" s="200"/>
    </row>
    <row r="6" spans="1:5" x14ac:dyDescent="0.25">
      <c r="A6" s="7"/>
      <c r="B6" s="1" t="s">
        <v>80</v>
      </c>
      <c r="C6" s="1" t="s">
        <v>81</v>
      </c>
      <c r="D6" s="1" t="s">
        <v>82</v>
      </c>
      <c r="E6" s="1" t="s">
        <v>83</v>
      </c>
    </row>
    <row r="7" spans="1:5" x14ac:dyDescent="0.25">
      <c r="A7" s="82" t="s">
        <v>99</v>
      </c>
      <c r="B7" s="50">
        <f>'Mandate 1'!C15</f>
        <v>0</v>
      </c>
      <c r="C7" s="50">
        <f>'Mandate 1'!D15</f>
        <v>0</v>
      </c>
      <c r="D7" s="50">
        <f>'Mandate 1'!E15</f>
        <v>0</v>
      </c>
      <c r="E7" s="35" t="s">
        <v>348</v>
      </c>
    </row>
    <row r="8" spans="1:5" ht="21" x14ac:dyDescent="0.35">
      <c r="A8" s="200" t="s">
        <v>349</v>
      </c>
      <c r="B8" s="200"/>
      <c r="C8" s="200"/>
      <c r="D8" s="200"/>
      <c r="E8" s="200"/>
    </row>
    <row r="9" spans="1:5" x14ac:dyDescent="0.25">
      <c r="A9" s="1" t="s">
        <v>102</v>
      </c>
      <c r="B9" s="38" t="s">
        <v>350</v>
      </c>
      <c r="C9" s="29" t="s">
        <v>413</v>
      </c>
      <c r="D9" s="130" t="s">
        <v>415</v>
      </c>
      <c r="E9" s="130" t="s">
        <v>83</v>
      </c>
    </row>
    <row r="10" spans="1:5" x14ac:dyDescent="0.25">
      <c r="A10" s="1" t="s">
        <v>107</v>
      </c>
      <c r="B10" s="29" t="s">
        <v>352</v>
      </c>
      <c r="C10" s="29" t="s">
        <v>109</v>
      </c>
      <c r="D10" s="130" t="s">
        <v>416</v>
      </c>
      <c r="E10" s="130" t="s">
        <v>424</v>
      </c>
    </row>
    <row r="11" spans="1:5" x14ac:dyDescent="0.25">
      <c r="A11" s="24" t="s">
        <v>113</v>
      </c>
      <c r="B11" s="64">
        <v>0.17</v>
      </c>
      <c r="C11" s="119">
        <f>ROUND((B4*B11),0)</f>
        <v>0</v>
      </c>
      <c r="D11" s="152">
        <f>ROUNDUP((B7*C11),0)</f>
        <v>0</v>
      </c>
      <c r="E11" s="134" t="s">
        <v>418</v>
      </c>
    </row>
    <row r="12" spans="1:5" x14ac:dyDescent="0.25">
      <c r="A12" s="15" t="s">
        <v>114</v>
      </c>
      <c r="B12" s="64">
        <v>0.125</v>
      </c>
      <c r="C12" s="119">
        <f>ROUND((B4*B12),0)</f>
        <v>0</v>
      </c>
      <c r="D12" s="152">
        <f>ROUNDUP((C7*C12),0)</f>
        <v>0</v>
      </c>
      <c r="E12" s="131" t="s">
        <v>419</v>
      </c>
    </row>
    <row r="13" spans="1:5" x14ac:dyDescent="0.25">
      <c r="A13" s="8" t="s">
        <v>115</v>
      </c>
      <c r="B13" s="64">
        <v>0.125</v>
      </c>
      <c r="C13" s="119">
        <f>ROUND((B4*B13),0)</f>
        <v>0</v>
      </c>
      <c r="D13" s="152">
        <f>ROUNDUP((D7*C13),0)</f>
        <v>0</v>
      </c>
      <c r="E13" s="134" t="s">
        <v>420</v>
      </c>
    </row>
    <row r="14" spans="1:5" ht="21" x14ac:dyDescent="0.35">
      <c r="A14" s="200" t="s">
        <v>349</v>
      </c>
      <c r="B14" s="200"/>
      <c r="C14" s="200"/>
      <c r="D14" s="200"/>
      <c r="E14" s="200"/>
    </row>
    <row r="15" spans="1:5" x14ac:dyDescent="0.25">
      <c r="A15" s="132" t="s">
        <v>102</v>
      </c>
      <c r="B15" s="38" t="s">
        <v>351</v>
      </c>
      <c r="C15" s="130" t="s">
        <v>414</v>
      </c>
      <c r="D15" s="130" t="s">
        <v>417</v>
      </c>
      <c r="E15" s="130" t="s">
        <v>83</v>
      </c>
    </row>
    <row r="16" spans="1:5" x14ac:dyDescent="0.25">
      <c r="A16" s="132" t="s">
        <v>107</v>
      </c>
      <c r="B16" s="130" t="s">
        <v>352</v>
      </c>
      <c r="C16" s="130" t="s">
        <v>109</v>
      </c>
      <c r="D16" s="130" t="s">
        <v>416</v>
      </c>
      <c r="E16" s="130" t="s">
        <v>424</v>
      </c>
    </row>
    <row r="17" spans="1:5" x14ac:dyDescent="0.25">
      <c r="A17" s="24" t="s">
        <v>113</v>
      </c>
      <c r="B17" s="64">
        <v>4.13</v>
      </c>
      <c r="C17" s="119">
        <f>ROUND((C4*B17),0)</f>
        <v>0</v>
      </c>
      <c r="D17" s="152">
        <f>ROUNDUP((C17*B7),0)</f>
        <v>0</v>
      </c>
      <c r="E17" s="134" t="s">
        <v>421</v>
      </c>
    </row>
    <row r="18" spans="1:5" x14ac:dyDescent="0.25">
      <c r="A18" s="15" t="s">
        <v>114</v>
      </c>
      <c r="B18" s="64">
        <v>0.35</v>
      </c>
      <c r="C18" s="119">
        <f>ROUND((C4*B18),0)</f>
        <v>0</v>
      </c>
      <c r="D18" s="152">
        <f>ROUNDUP((C18*C7),0)</f>
        <v>0</v>
      </c>
      <c r="E18" s="131" t="s">
        <v>422</v>
      </c>
    </row>
    <row r="19" spans="1:5" x14ac:dyDescent="0.25">
      <c r="A19" s="8" t="s">
        <v>115</v>
      </c>
      <c r="B19" s="64">
        <v>0.5</v>
      </c>
      <c r="C19" s="119">
        <f>ROUND((C4*B19),0)</f>
        <v>0</v>
      </c>
      <c r="D19" s="152">
        <f>ROUNDUP((C19*D7),0)</f>
        <v>0</v>
      </c>
      <c r="E19" s="134" t="s">
        <v>423</v>
      </c>
    </row>
    <row r="20" spans="1:5" ht="21.75" thickBot="1" x14ac:dyDescent="0.4">
      <c r="A20" s="200" t="s">
        <v>353</v>
      </c>
      <c r="B20" s="200"/>
      <c r="C20" s="200"/>
      <c r="D20" s="200"/>
      <c r="E20" s="200"/>
    </row>
    <row r="21" spans="1:5" ht="19.5" thickBot="1" x14ac:dyDescent="0.35">
      <c r="A21" s="220" t="s">
        <v>354</v>
      </c>
      <c r="B21" s="220"/>
      <c r="C21" s="220"/>
      <c r="D21" s="221"/>
      <c r="E21" s="39">
        <f>(SUM(D11:D13))+(SUM(D17:D19))</f>
        <v>0</v>
      </c>
    </row>
    <row r="22" spans="1:5" ht="21" x14ac:dyDescent="0.35">
      <c r="A22" s="165" t="s">
        <v>57</v>
      </c>
      <c r="B22" s="165"/>
      <c r="C22" s="165"/>
      <c r="D22" s="165"/>
      <c r="E22" s="165"/>
    </row>
    <row r="23" spans="1:5" ht="14.45" customHeight="1" x14ac:dyDescent="0.25">
      <c r="A23" s="207" t="s">
        <v>471</v>
      </c>
      <c r="B23" s="207"/>
      <c r="C23" s="207"/>
      <c r="D23" s="207"/>
      <c r="E23" s="207"/>
    </row>
    <row r="24" spans="1:5" x14ac:dyDescent="0.25">
      <c r="A24" s="213"/>
      <c r="B24" s="213"/>
      <c r="C24" s="213"/>
      <c r="D24" s="213"/>
      <c r="E24" s="213"/>
    </row>
    <row r="25" spans="1:5" x14ac:dyDescent="0.25">
      <c r="A25" s="213"/>
      <c r="B25" s="213"/>
      <c r="C25" s="213"/>
      <c r="D25" s="213"/>
      <c r="E25" s="213"/>
    </row>
    <row r="26" spans="1:5" x14ac:dyDescent="0.25">
      <c r="A26" s="213"/>
      <c r="B26" s="213"/>
      <c r="C26" s="213"/>
      <c r="D26" s="213"/>
      <c r="E26" s="213"/>
    </row>
  </sheetData>
  <sheetProtection algorithmName="SHA-512" hashValue="AMgwSMcYI0EVtzmtqrQ3fFCXKyAx30Xc/anM9e4UISWsv8yZogx6cemZDbUSyfEfl0a7aJbeL+JnWv22P70dBg==" saltValue="Pa3f8Yh+T6rcOjJd1qyBSA==" spinCount="100000" sheet="1" objects="1" scenarios="1" formatCells="0" formatColumns="0" formatRows="0" insertColumns="0" insertRows="0" insertHyperlinks="0" deleteColumns="0" deleteRows="0" sort="0"/>
  <mergeCells count="10">
    <mergeCell ref="A21:D21"/>
    <mergeCell ref="A23:E23"/>
    <mergeCell ref="A24:E26"/>
    <mergeCell ref="A2:E2"/>
    <mergeCell ref="D3:E3"/>
    <mergeCell ref="D4:E4"/>
    <mergeCell ref="A20:E20"/>
    <mergeCell ref="A8:E8"/>
    <mergeCell ref="A5:E5"/>
    <mergeCell ref="A14:E14"/>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3573A-61AE-4EAF-A724-A7D66A0CE443}">
  <dimension ref="A1:E41"/>
  <sheetViews>
    <sheetView zoomScaleNormal="100" workbookViewId="0">
      <selection activeCell="E8" sqref="E8"/>
    </sheetView>
  </sheetViews>
  <sheetFormatPr defaultRowHeight="15" x14ac:dyDescent="0.25"/>
  <cols>
    <col min="1" max="1" width="20.5703125" customWidth="1"/>
    <col min="2" max="2" width="30.28515625" bestFit="1" customWidth="1"/>
    <col min="3" max="3" width="23" bestFit="1" customWidth="1"/>
    <col min="4" max="4" width="23.140625" bestFit="1" customWidth="1"/>
  </cols>
  <sheetData>
    <row r="1" spans="1:5" ht="30" customHeight="1" x14ac:dyDescent="0.25">
      <c r="A1" s="308" t="s">
        <v>355</v>
      </c>
      <c r="B1" s="308"/>
      <c r="C1" s="308"/>
      <c r="D1" s="308"/>
    </row>
    <row r="2" spans="1:5" ht="20.25" customHeight="1" x14ac:dyDescent="0.25">
      <c r="A2" s="307" t="s">
        <v>356</v>
      </c>
      <c r="B2" s="307"/>
      <c r="C2" s="307"/>
      <c r="D2" s="307"/>
    </row>
    <row r="3" spans="1:5" ht="15.75" x14ac:dyDescent="0.25">
      <c r="A3" s="19" t="s">
        <v>357</v>
      </c>
      <c r="B3" s="19" t="s">
        <v>358</v>
      </c>
      <c r="C3" s="19" t="s">
        <v>359</v>
      </c>
      <c r="D3" s="19" t="s">
        <v>360</v>
      </c>
    </row>
    <row r="4" spans="1:5" x14ac:dyDescent="0.25">
      <c r="A4" s="16">
        <v>1</v>
      </c>
      <c r="B4" s="4" t="s">
        <v>361</v>
      </c>
      <c r="C4" s="309"/>
      <c r="D4" s="66">
        <f>'Mandate 1'!G23</f>
        <v>0</v>
      </c>
    </row>
    <row r="5" spans="1:5" x14ac:dyDescent="0.25">
      <c r="A5" s="17">
        <v>2</v>
      </c>
      <c r="B5" s="9" t="s">
        <v>362</v>
      </c>
      <c r="C5" s="310"/>
      <c r="D5" s="66">
        <f>SUM(C6:C7)</f>
        <v>0</v>
      </c>
    </row>
    <row r="6" spans="1:5" x14ac:dyDescent="0.25">
      <c r="A6" s="17" t="s">
        <v>363</v>
      </c>
      <c r="B6" s="13" t="s">
        <v>317</v>
      </c>
      <c r="C6" s="49">
        <f>'Mandate 2'!G48</f>
        <v>0</v>
      </c>
      <c r="D6" s="67"/>
    </row>
    <row r="7" spans="1:5" x14ac:dyDescent="0.25">
      <c r="A7" s="17" t="s">
        <v>364</v>
      </c>
      <c r="B7" s="13" t="s">
        <v>365</v>
      </c>
      <c r="C7" s="49">
        <f>'Mandate 2'!G49</f>
        <v>0</v>
      </c>
      <c r="D7" s="67"/>
    </row>
    <row r="8" spans="1:5" x14ac:dyDescent="0.25">
      <c r="A8" s="16">
        <v>3</v>
      </c>
      <c r="B8" s="4" t="s">
        <v>54</v>
      </c>
      <c r="C8" s="311"/>
      <c r="D8" s="66" cm="1">
        <f t="array" ref="D8:E8">'Mandate 3'!F17:G17</f>
        <v>0</v>
      </c>
      <c r="E8">
        <v>0</v>
      </c>
    </row>
    <row r="9" spans="1:5" x14ac:dyDescent="0.25">
      <c r="A9" s="17">
        <v>4</v>
      </c>
      <c r="B9" s="9" t="s">
        <v>366</v>
      </c>
      <c r="C9" s="310"/>
      <c r="D9" s="66">
        <f>SUM(C10:C12)</f>
        <v>0</v>
      </c>
    </row>
    <row r="10" spans="1:5" x14ac:dyDescent="0.25">
      <c r="A10" s="17" t="s">
        <v>367</v>
      </c>
      <c r="B10" s="13" t="s">
        <v>317</v>
      </c>
      <c r="C10" s="109">
        <f>'Mandate 4'!F51</f>
        <v>0</v>
      </c>
      <c r="D10" s="68"/>
    </row>
    <row r="11" spans="1:5" x14ac:dyDescent="0.25">
      <c r="A11" s="17" t="s">
        <v>368</v>
      </c>
      <c r="B11" s="13" t="s">
        <v>365</v>
      </c>
      <c r="C11" s="109">
        <f>'Mandate 4'!F52</f>
        <v>0</v>
      </c>
      <c r="D11" s="69"/>
    </row>
    <row r="12" spans="1:5" x14ac:dyDescent="0.25">
      <c r="A12" s="17" t="s">
        <v>369</v>
      </c>
      <c r="B12" s="13" t="s">
        <v>370</v>
      </c>
      <c r="C12" s="109">
        <f>'Mandate 4'!F53</f>
        <v>0</v>
      </c>
      <c r="D12" s="69"/>
    </row>
    <row r="13" spans="1:5" x14ac:dyDescent="0.25">
      <c r="A13" s="16">
        <v>5</v>
      </c>
      <c r="B13" s="4" t="s">
        <v>371</v>
      </c>
      <c r="C13" s="83"/>
      <c r="D13" s="110" t="s">
        <v>372</v>
      </c>
    </row>
    <row r="14" spans="1:5" x14ac:dyDescent="0.25">
      <c r="A14" s="17">
        <v>6</v>
      </c>
      <c r="B14" s="9" t="s">
        <v>373</v>
      </c>
      <c r="C14" s="146"/>
      <c r="D14" s="66">
        <f>SUM(C15:C16)</f>
        <v>0</v>
      </c>
    </row>
    <row r="15" spans="1:5" x14ac:dyDescent="0.25">
      <c r="A15" s="17" t="s">
        <v>404</v>
      </c>
      <c r="B15" s="13" t="s">
        <v>406</v>
      </c>
      <c r="C15" s="109">
        <f>'Mandate 6'!D10</f>
        <v>0</v>
      </c>
      <c r="D15" s="68"/>
    </row>
    <row r="16" spans="1:5" x14ac:dyDescent="0.25">
      <c r="A16" s="17" t="s">
        <v>405</v>
      </c>
      <c r="B16" s="13" t="s">
        <v>407</v>
      </c>
      <c r="C16" s="109">
        <f>'Mandate 6'!D11</f>
        <v>0</v>
      </c>
      <c r="D16" s="69"/>
    </row>
    <row r="17" spans="1:4" x14ac:dyDescent="0.25">
      <c r="A17" s="16">
        <v>7</v>
      </c>
      <c r="B17" s="4" t="s">
        <v>374</v>
      </c>
      <c r="C17" s="146"/>
      <c r="D17" s="66">
        <f>'Mandate 7'!F17</f>
        <v>0</v>
      </c>
    </row>
    <row r="18" spans="1:4" x14ac:dyDescent="0.25">
      <c r="A18" s="17">
        <v>8</v>
      </c>
      <c r="B18" s="9" t="s">
        <v>375</v>
      </c>
      <c r="C18" s="146"/>
      <c r="D18" s="66">
        <f>'Mandate 8'!C8</f>
        <v>0</v>
      </c>
    </row>
    <row r="19" spans="1:4" x14ac:dyDescent="0.25">
      <c r="A19" s="16">
        <v>9</v>
      </c>
      <c r="B19" s="4" t="s">
        <v>265</v>
      </c>
      <c r="C19" s="146"/>
      <c r="D19" s="66">
        <f>'Mandate 9'!F21</f>
        <v>0</v>
      </c>
    </row>
    <row r="20" spans="1:4" x14ac:dyDescent="0.25">
      <c r="A20" s="17">
        <v>10</v>
      </c>
      <c r="B20" s="9" t="s">
        <v>376</v>
      </c>
      <c r="C20" s="146"/>
      <c r="D20" s="66">
        <f>'Mandate 10'!F19</f>
        <v>0</v>
      </c>
    </row>
    <row r="21" spans="1:4" x14ac:dyDescent="0.25">
      <c r="A21" s="16">
        <v>11</v>
      </c>
      <c r="B21" s="4" t="s">
        <v>377</v>
      </c>
      <c r="C21" s="147"/>
      <c r="D21" s="66">
        <f>SUM(C22:C24)</f>
        <v>0</v>
      </c>
    </row>
    <row r="22" spans="1:4" x14ac:dyDescent="0.25">
      <c r="A22" s="16" t="s">
        <v>378</v>
      </c>
      <c r="B22" s="14" t="s">
        <v>317</v>
      </c>
      <c r="C22" s="49">
        <f>'Mandate 11'!F30</f>
        <v>0</v>
      </c>
      <c r="D22" s="68"/>
    </row>
    <row r="23" spans="1:4" x14ac:dyDescent="0.25">
      <c r="A23" s="16" t="s">
        <v>379</v>
      </c>
      <c r="B23" s="14" t="s">
        <v>365</v>
      </c>
      <c r="C23" s="49">
        <f>'Mandate 11'!F31</f>
        <v>0</v>
      </c>
      <c r="D23" s="67"/>
    </row>
    <row r="24" spans="1:4" x14ac:dyDescent="0.25">
      <c r="A24" s="16" t="s">
        <v>380</v>
      </c>
      <c r="B24" s="14" t="s">
        <v>370</v>
      </c>
      <c r="C24" s="49">
        <f>'Mandate 11'!F32</f>
        <v>0</v>
      </c>
      <c r="D24" s="67"/>
    </row>
    <row r="25" spans="1:4" x14ac:dyDescent="0.25">
      <c r="A25" s="17">
        <v>12</v>
      </c>
      <c r="B25" s="9" t="s">
        <v>381</v>
      </c>
      <c r="C25" s="311"/>
      <c r="D25" s="66">
        <f>'Mandate 12'!K25</f>
        <v>0</v>
      </c>
    </row>
    <row r="26" spans="1:4" x14ac:dyDescent="0.25">
      <c r="A26" s="16">
        <v>13</v>
      </c>
      <c r="B26" s="4" t="s">
        <v>382</v>
      </c>
      <c r="C26" s="309"/>
      <c r="D26" s="66">
        <f>'Mandate 13'!F16</f>
        <v>0</v>
      </c>
    </row>
    <row r="27" spans="1:4" x14ac:dyDescent="0.25">
      <c r="A27" s="17">
        <v>14</v>
      </c>
      <c r="B27" s="9" t="s">
        <v>383</v>
      </c>
      <c r="C27" s="310"/>
      <c r="D27" s="66">
        <f>SUM(C28:C30)</f>
        <v>0</v>
      </c>
    </row>
    <row r="28" spans="1:4" x14ac:dyDescent="0.25">
      <c r="A28" s="17" t="s">
        <v>384</v>
      </c>
      <c r="B28" s="13" t="s">
        <v>317</v>
      </c>
      <c r="C28" s="109">
        <f>'Mandate 14'!F30</f>
        <v>0</v>
      </c>
      <c r="D28" s="68"/>
    </row>
    <row r="29" spans="1:4" x14ac:dyDescent="0.25">
      <c r="A29" s="17" t="s">
        <v>385</v>
      </c>
      <c r="B29" s="13" t="s">
        <v>365</v>
      </c>
      <c r="C29" s="109">
        <f>'Mandate 14'!F31</f>
        <v>0</v>
      </c>
      <c r="D29" s="69"/>
    </row>
    <row r="30" spans="1:4" x14ac:dyDescent="0.25">
      <c r="A30" s="17" t="s">
        <v>386</v>
      </c>
      <c r="B30" s="13" t="s">
        <v>370</v>
      </c>
      <c r="C30" s="109">
        <f>'Mandate 14'!F32</f>
        <v>0</v>
      </c>
      <c r="D30" s="69"/>
    </row>
    <row r="31" spans="1:4" x14ac:dyDescent="0.25">
      <c r="A31" s="16">
        <v>15</v>
      </c>
      <c r="B31" s="4" t="s">
        <v>387</v>
      </c>
      <c r="C31" s="83"/>
      <c r="D31" s="111" t="s">
        <v>372</v>
      </c>
    </row>
    <row r="32" spans="1:4" x14ac:dyDescent="0.25">
      <c r="A32" s="17">
        <v>16</v>
      </c>
      <c r="B32" s="9" t="s">
        <v>388</v>
      </c>
      <c r="C32" s="83"/>
      <c r="D32" s="110" t="s">
        <v>372</v>
      </c>
    </row>
    <row r="33" spans="1:4" x14ac:dyDescent="0.25">
      <c r="A33" s="16">
        <v>17</v>
      </c>
      <c r="B33" s="4" t="s">
        <v>389</v>
      </c>
      <c r="C33" s="309"/>
      <c r="D33" s="66">
        <f>'Mandate 17'!E6</f>
        <v>0</v>
      </c>
    </row>
    <row r="34" spans="1:4" x14ac:dyDescent="0.25">
      <c r="A34" s="17">
        <v>18</v>
      </c>
      <c r="B34" s="9" t="s">
        <v>390</v>
      </c>
      <c r="C34" s="310"/>
      <c r="D34" s="66">
        <f>SUM(C35:C36)</f>
        <v>0</v>
      </c>
    </row>
    <row r="35" spans="1:4" x14ac:dyDescent="0.25">
      <c r="A35" s="17" t="s">
        <v>391</v>
      </c>
      <c r="B35" s="13" t="s">
        <v>317</v>
      </c>
      <c r="C35" s="49">
        <f>'Mandate 18'!F26</f>
        <v>0</v>
      </c>
      <c r="D35" s="67"/>
    </row>
    <row r="36" spans="1:4" x14ac:dyDescent="0.25">
      <c r="A36" s="17" t="s">
        <v>392</v>
      </c>
      <c r="B36" s="13" t="s">
        <v>365</v>
      </c>
      <c r="C36" s="49">
        <f>'Mandate 18'!F27</f>
        <v>0</v>
      </c>
      <c r="D36" s="67"/>
    </row>
    <row r="37" spans="1:4" x14ac:dyDescent="0.25">
      <c r="A37" s="16">
        <v>19</v>
      </c>
      <c r="B37" s="4" t="s">
        <v>393</v>
      </c>
      <c r="C37" s="138"/>
      <c r="D37" s="66">
        <f>'Mandate 19'!D9</f>
        <v>0</v>
      </c>
    </row>
    <row r="38" spans="1:4" ht="20.25" customHeight="1" thickBot="1" x14ac:dyDescent="0.3">
      <c r="A38" s="307"/>
      <c r="B38" s="307"/>
      <c r="C38" s="307"/>
      <c r="D38" s="307"/>
    </row>
    <row r="39" spans="1:4" ht="19.5" thickBot="1" x14ac:dyDescent="0.35">
      <c r="A39" s="220" t="s">
        <v>426</v>
      </c>
      <c r="B39" s="220"/>
      <c r="C39" s="220"/>
      <c r="D39" s="41">
        <f>SUM(D4:D5,D8:D9,D14:D21,D25:D27,D33:D34,D37)</f>
        <v>0</v>
      </c>
    </row>
    <row r="40" spans="1:4" ht="19.5" thickBot="1" x14ac:dyDescent="0.35">
      <c r="A40" s="220" t="s">
        <v>427</v>
      </c>
      <c r="B40" s="220"/>
      <c r="C40" s="220" t="s">
        <v>427</v>
      </c>
      <c r="D40" s="153">
        <f>CAP!E21</f>
        <v>0</v>
      </c>
    </row>
    <row r="41" spans="1:4" ht="19.5" thickBot="1" x14ac:dyDescent="0.35">
      <c r="A41" s="305" t="s">
        <v>394</v>
      </c>
      <c r="B41" s="306"/>
      <c r="C41" s="306"/>
      <c r="D41" s="154">
        <f>SUM(D39:D40)</f>
        <v>0</v>
      </c>
    </row>
  </sheetData>
  <sheetProtection algorithmName="SHA-512" hashValue="TzHICsnv4KcwEKufhi9OxcaVaqR9r8rSYGIYctX6FAsn1oC5Pikjm74zmDCrDoOZxksCSCvV78hTi+1B9lBWGQ==" saltValue="+s6oqTjoF4ZN3r1xl7U6fA==" spinCount="100000" sheet="1" objects="1" scenarios="1" formatCells="0" formatColumns="0" formatRows="0" insertColumns="0" insertRows="0" insertHyperlinks="0" deleteColumns="0" deleteRows="0" sort="0"/>
  <mergeCells count="10">
    <mergeCell ref="A40:C40"/>
    <mergeCell ref="A41:C41"/>
    <mergeCell ref="A39:C39"/>
    <mergeCell ref="A2:D2"/>
    <mergeCell ref="A1:D1"/>
    <mergeCell ref="A38:D38"/>
    <mergeCell ref="C4:C5"/>
    <mergeCell ref="C8:C9"/>
    <mergeCell ref="C25:C27"/>
    <mergeCell ref="C33:C3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0D76B-DB35-4125-AF39-D0486E09874F}">
  <sheetPr>
    <tabColor rgb="FFFFFF00"/>
  </sheetPr>
  <dimension ref="A1:N16"/>
  <sheetViews>
    <sheetView zoomScaleNormal="100" workbookViewId="0">
      <selection activeCell="B4" sqref="B4:B5"/>
    </sheetView>
  </sheetViews>
  <sheetFormatPr defaultRowHeight="15" x14ac:dyDescent="0.25"/>
  <cols>
    <col min="1" max="1" width="22.5703125" customWidth="1"/>
    <col min="2" max="2" width="24.85546875" customWidth="1"/>
    <col min="3" max="3" width="36.5703125" bestFit="1" customWidth="1"/>
    <col min="4" max="4" width="103.140625" customWidth="1"/>
  </cols>
  <sheetData>
    <row r="1" spans="1:14" ht="30" customHeight="1" x14ac:dyDescent="0.45">
      <c r="A1" s="202" t="s">
        <v>31</v>
      </c>
      <c r="B1" s="202"/>
      <c r="C1" s="202"/>
      <c r="D1" s="202"/>
    </row>
    <row r="2" spans="1:14" ht="20.25" customHeight="1" x14ac:dyDescent="0.35">
      <c r="A2" s="200" t="s">
        <v>32</v>
      </c>
      <c r="B2" s="200"/>
      <c r="C2" s="200"/>
      <c r="D2" s="200"/>
    </row>
    <row r="3" spans="1:14" ht="32.25" customHeight="1" x14ac:dyDescent="0.25">
      <c r="A3" s="29" t="s">
        <v>33</v>
      </c>
      <c r="B3" s="27" t="s">
        <v>34</v>
      </c>
      <c r="C3" s="208" t="s">
        <v>35</v>
      </c>
      <c r="D3" s="208"/>
    </row>
    <row r="4" spans="1:14" x14ac:dyDescent="0.25">
      <c r="A4" s="8" t="s">
        <v>36</v>
      </c>
      <c r="B4" s="167"/>
      <c r="C4" s="105" t="s">
        <v>37</v>
      </c>
      <c r="D4" s="73" t="s">
        <v>38</v>
      </c>
    </row>
    <row r="5" spans="1:14" x14ac:dyDescent="0.25">
      <c r="A5" s="15" t="s">
        <v>39</v>
      </c>
      <c r="B5" s="167"/>
      <c r="C5" s="106" t="s">
        <v>40</v>
      </c>
      <c r="D5" s="74" t="s">
        <v>41</v>
      </c>
    </row>
    <row r="6" spans="1:14" x14ac:dyDescent="0.25">
      <c r="A6" s="8" t="s">
        <v>42</v>
      </c>
      <c r="B6" s="167"/>
      <c r="C6" s="107" t="s">
        <v>43</v>
      </c>
      <c r="D6" s="75" t="s">
        <v>44</v>
      </c>
    </row>
    <row r="7" spans="1:14" x14ac:dyDescent="0.25">
      <c r="A7" s="15" t="s">
        <v>45</v>
      </c>
      <c r="B7" s="167"/>
      <c r="C7" s="106" t="s">
        <v>46</v>
      </c>
      <c r="D7" s="74" t="s">
        <v>47</v>
      </c>
    </row>
    <row r="8" spans="1:14" x14ac:dyDescent="0.25">
      <c r="A8" s="8" t="s">
        <v>48</v>
      </c>
      <c r="B8" s="167"/>
      <c r="C8" s="209" t="s">
        <v>49</v>
      </c>
      <c r="D8" s="76" t="s">
        <v>50</v>
      </c>
    </row>
    <row r="9" spans="1:14" x14ac:dyDescent="0.25">
      <c r="A9" s="1" t="s">
        <v>51</v>
      </c>
      <c r="B9" s="1"/>
      <c r="C9" s="209"/>
      <c r="D9" s="76" t="s">
        <v>52</v>
      </c>
    </row>
    <row r="10" spans="1:14" ht="90" x14ac:dyDescent="0.25">
      <c r="A10" s="121" t="s">
        <v>53</v>
      </c>
      <c r="B10" s="168"/>
      <c r="C10" s="108" t="s">
        <v>55</v>
      </c>
      <c r="D10" s="77" t="s">
        <v>56</v>
      </c>
    </row>
    <row r="11" spans="1:14" ht="21" x14ac:dyDescent="0.35">
      <c r="A11" s="200" t="s">
        <v>57</v>
      </c>
      <c r="B11" s="200"/>
      <c r="C11" s="200"/>
      <c r="D11" s="200"/>
    </row>
    <row r="12" spans="1:14" ht="30" customHeight="1" x14ac:dyDescent="0.25">
      <c r="A12" s="207" t="s">
        <v>58</v>
      </c>
      <c r="B12" s="207"/>
      <c r="C12" s="207"/>
      <c r="D12" s="207"/>
    </row>
    <row r="13" spans="1:14" x14ac:dyDescent="0.25">
      <c r="A13" s="205"/>
      <c r="B13" s="205"/>
      <c r="C13" s="205"/>
      <c r="D13" s="205"/>
      <c r="E13" s="70"/>
      <c r="F13" s="70"/>
      <c r="G13" s="70"/>
      <c r="H13" s="70"/>
      <c r="I13" s="70"/>
      <c r="J13" s="70"/>
      <c r="K13" s="70"/>
      <c r="L13" s="70"/>
      <c r="M13" s="70"/>
      <c r="N13" s="70"/>
    </row>
    <row r="14" spans="1:14" x14ac:dyDescent="0.25">
      <c r="A14" s="205"/>
      <c r="B14" s="205"/>
      <c r="C14" s="205"/>
      <c r="D14" s="205"/>
      <c r="E14" s="70"/>
      <c r="F14" s="70"/>
      <c r="G14" s="70"/>
      <c r="H14" s="70"/>
      <c r="I14" s="70"/>
      <c r="J14" s="70"/>
      <c r="K14" s="70"/>
      <c r="L14" s="70"/>
      <c r="M14" s="70"/>
      <c r="N14" s="70"/>
    </row>
    <row r="15" spans="1:14" x14ac:dyDescent="0.25">
      <c r="A15" s="205"/>
      <c r="B15" s="205"/>
      <c r="C15" s="205"/>
      <c r="D15" s="205"/>
    </row>
    <row r="16" spans="1:14" ht="18.75" x14ac:dyDescent="0.3">
      <c r="A16" s="206" t="s">
        <v>59</v>
      </c>
      <c r="B16" s="206"/>
      <c r="C16" s="206"/>
      <c r="D16" s="117">
        <f>ROUND((SUM(B4:B8)),0)</f>
        <v>0</v>
      </c>
    </row>
  </sheetData>
  <sheetProtection algorithmName="SHA-512" hashValue="sYTXQRILbhvSXazzD8piEM1jmLa6DKHZ6QnVPMY1Z1YFn5vNC4/Mu2QDx0yiZMttsbD1FCVXZsmfJ35L+pE9Wg==" saltValue="kWApTl7nu0TF5YJqgRTMQw==" spinCount="100000" sheet="1" objects="1" scenarios="1" formatCells="0" formatColumns="0" formatRows="0" insertColumns="0" insertRows="0" insertHyperlinks="0" deleteColumns="0" deleteRows="0"/>
  <mergeCells count="8">
    <mergeCell ref="A13:D15"/>
    <mergeCell ref="A16:C16"/>
    <mergeCell ref="A11:D11"/>
    <mergeCell ref="A12:D12"/>
    <mergeCell ref="A1:D1"/>
    <mergeCell ref="A2:D2"/>
    <mergeCell ref="C3:D3"/>
    <mergeCell ref="C8:C9"/>
  </mergeCells>
  <dataValidations count="1">
    <dataValidation type="list" showInputMessage="1" showErrorMessage="1" promptTitle="Enrollment Type" prompt="Select which enrollment type was used" sqref="B10" xr:uid="{607A96C6-F4D0-405C-98D9-ACDE1757A374}">
      <formula1>"Opening,Closing,BEDS"</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C198DA-4A86-4685-B4B3-C2F186DA716C}">
  <sheetPr>
    <tabColor rgb="FFFFFF00"/>
  </sheetPr>
  <dimension ref="A1:I63"/>
  <sheetViews>
    <sheetView zoomScaleNormal="100" workbookViewId="0">
      <pane ySplit="3" topLeftCell="A4" activePane="bottomLeft" state="frozen"/>
      <selection activeCell="B5" sqref="B5"/>
      <selection pane="bottomLeft" activeCell="F13" sqref="F13"/>
    </sheetView>
  </sheetViews>
  <sheetFormatPr defaultRowHeight="15" x14ac:dyDescent="0.25"/>
  <cols>
    <col min="1" max="1" width="22" customWidth="1"/>
    <col min="2" max="2" width="12.85546875" customWidth="1"/>
    <col min="3" max="3" width="11.85546875" customWidth="1"/>
    <col min="4" max="4" width="15" customWidth="1"/>
    <col min="5" max="5" width="5.7109375" customWidth="1"/>
    <col min="6" max="6" width="38.5703125" bestFit="1" customWidth="1"/>
    <col min="7" max="7" width="4.28515625" customWidth="1"/>
    <col min="8" max="8" width="10.42578125" customWidth="1"/>
    <col min="9" max="9" width="75.7109375" bestFit="1" customWidth="1"/>
  </cols>
  <sheetData>
    <row r="1" spans="1:9" ht="30" customHeight="1" x14ac:dyDescent="0.45">
      <c r="A1" s="202" t="s">
        <v>31</v>
      </c>
      <c r="B1" s="202"/>
      <c r="C1" s="202"/>
      <c r="D1" s="202"/>
      <c r="E1" s="202"/>
      <c r="F1" s="202"/>
      <c r="G1" s="202"/>
      <c r="H1" s="202"/>
      <c r="I1" s="202"/>
    </row>
    <row r="2" spans="1:9" ht="20.25" customHeight="1" x14ac:dyDescent="0.35">
      <c r="A2" s="200" t="s">
        <v>60</v>
      </c>
      <c r="B2" s="200"/>
      <c r="C2" s="200"/>
      <c r="D2" s="200"/>
      <c r="E2" s="200"/>
      <c r="F2" s="200"/>
      <c r="G2" s="200"/>
      <c r="H2" s="200"/>
      <c r="I2" s="200"/>
    </row>
    <row r="3" spans="1:9" x14ac:dyDescent="0.25">
      <c r="A3" s="32" t="s">
        <v>61</v>
      </c>
      <c r="B3" s="34" t="s">
        <v>62</v>
      </c>
      <c r="C3" s="34" t="s">
        <v>63</v>
      </c>
      <c r="D3" s="34" t="s">
        <v>64</v>
      </c>
      <c r="F3" s="42" t="s">
        <v>65</v>
      </c>
      <c r="G3" s="42"/>
      <c r="H3" s="42"/>
      <c r="I3" s="42"/>
    </row>
    <row r="4" spans="1:9" x14ac:dyDescent="0.25">
      <c r="A4" s="2" t="s">
        <v>66</v>
      </c>
      <c r="B4" s="3">
        <v>13</v>
      </c>
      <c r="C4" s="3">
        <v>2</v>
      </c>
      <c r="D4" s="3">
        <v>2</v>
      </c>
      <c r="F4" s="210" t="s">
        <v>61</v>
      </c>
      <c r="G4" s="211" t="s">
        <v>67</v>
      </c>
      <c r="H4" s="212" t="s">
        <v>68</v>
      </c>
      <c r="I4" s="212"/>
    </row>
    <row r="5" spans="1:9" x14ac:dyDescent="0.25">
      <c r="A5" s="2" t="s">
        <v>69</v>
      </c>
      <c r="B5" s="3">
        <v>13</v>
      </c>
      <c r="C5" s="3">
        <v>2</v>
      </c>
      <c r="D5" s="3">
        <v>2</v>
      </c>
      <c r="F5" s="210"/>
      <c r="G5" s="211"/>
      <c r="H5" s="212" t="s">
        <v>70</v>
      </c>
      <c r="I5" s="212"/>
    </row>
    <row r="6" spans="1:9" x14ac:dyDescent="0.25">
      <c r="A6" s="2" t="s">
        <v>71</v>
      </c>
      <c r="B6" s="3">
        <v>13</v>
      </c>
      <c r="C6" s="3">
        <v>2</v>
      </c>
      <c r="D6" s="3">
        <v>2</v>
      </c>
      <c r="F6" s="42" t="s">
        <v>72</v>
      </c>
      <c r="G6" s="42"/>
      <c r="H6" s="42"/>
      <c r="I6" s="29" t="s">
        <v>73</v>
      </c>
    </row>
    <row r="7" spans="1:9" x14ac:dyDescent="0.25">
      <c r="A7" s="3">
        <v>4</v>
      </c>
      <c r="B7" s="3">
        <v>13</v>
      </c>
      <c r="C7" s="3">
        <v>2</v>
      </c>
      <c r="D7" s="3">
        <v>2</v>
      </c>
      <c r="F7" s="86" t="s">
        <v>55</v>
      </c>
      <c r="G7" s="11" t="s">
        <v>67</v>
      </c>
      <c r="H7" s="79">
        <f>'Prep- Enrollment'!D16</f>
        <v>0</v>
      </c>
      <c r="I7" s="78" t="s">
        <v>74</v>
      </c>
    </row>
    <row r="8" spans="1:9" x14ac:dyDescent="0.25">
      <c r="A8" s="3">
        <v>5</v>
      </c>
      <c r="B8" s="3">
        <v>13</v>
      </c>
      <c r="C8" s="3">
        <v>2</v>
      </c>
      <c r="D8" s="3">
        <v>2</v>
      </c>
      <c r="F8" s="87" t="s">
        <v>75</v>
      </c>
      <c r="G8" s="12" t="s">
        <v>67</v>
      </c>
      <c r="H8" s="169"/>
      <c r="I8" s="57" t="s">
        <v>76</v>
      </c>
    </row>
    <row r="9" spans="1:9" x14ac:dyDescent="0.25">
      <c r="A9" s="3">
        <v>6</v>
      </c>
      <c r="B9" s="3">
        <v>13</v>
      </c>
      <c r="C9" s="3">
        <v>2</v>
      </c>
      <c r="D9" s="3">
        <v>2</v>
      </c>
      <c r="F9" s="86" t="s">
        <v>61</v>
      </c>
      <c r="G9" s="16" t="s">
        <v>67</v>
      </c>
      <c r="H9" s="120" t="e">
        <f>ROUND((H7/H8),0)</f>
        <v>#DIV/0!</v>
      </c>
      <c r="I9" s="78" t="s">
        <v>77</v>
      </c>
    </row>
    <row r="10" spans="1:9" x14ac:dyDescent="0.25">
      <c r="A10" s="3">
        <v>7</v>
      </c>
      <c r="B10" s="3">
        <v>13</v>
      </c>
      <c r="C10" s="3">
        <v>2</v>
      </c>
      <c r="D10" s="3">
        <v>2</v>
      </c>
    </row>
    <row r="11" spans="1:9" x14ac:dyDescent="0.25">
      <c r="A11" s="3">
        <v>8</v>
      </c>
      <c r="B11" s="3">
        <v>13</v>
      </c>
      <c r="C11" s="3">
        <v>2</v>
      </c>
      <c r="D11" s="3">
        <v>2</v>
      </c>
    </row>
    <row r="12" spans="1:9" x14ac:dyDescent="0.25">
      <c r="A12" s="3">
        <v>9</v>
      </c>
      <c r="B12" s="3">
        <v>13</v>
      </c>
      <c r="C12" s="3">
        <v>2</v>
      </c>
      <c r="D12" s="3">
        <v>2</v>
      </c>
    </row>
    <row r="13" spans="1:9" x14ac:dyDescent="0.25">
      <c r="A13" s="3">
        <v>10</v>
      </c>
      <c r="B13" s="3">
        <v>20</v>
      </c>
      <c r="C13" s="3">
        <v>3.7</v>
      </c>
      <c r="D13" s="3">
        <v>3.5</v>
      </c>
    </row>
    <row r="14" spans="1:9" x14ac:dyDescent="0.25">
      <c r="A14" s="3">
        <v>11</v>
      </c>
      <c r="B14" s="3">
        <v>20</v>
      </c>
      <c r="C14" s="3">
        <v>3.7</v>
      </c>
      <c r="D14" s="3">
        <v>3.5</v>
      </c>
    </row>
    <row r="15" spans="1:9" x14ac:dyDescent="0.25">
      <c r="A15" s="3">
        <v>12</v>
      </c>
      <c r="B15" s="3">
        <v>20</v>
      </c>
      <c r="C15" s="3">
        <v>3.7</v>
      </c>
      <c r="D15" s="3">
        <v>3.5</v>
      </c>
    </row>
    <row r="16" spans="1:9" x14ac:dyDescent="0.25">
      <c r="A16" s="3">
        <v>13</v>
      </c>
      <c r="B16" s="3">
        <v>30</v>
      </c>
      <c r="C16" s="3">
        <v>5.5</v>
      </c>
      <c r="D16" s="3">
        <v>5</v>
      </c>
    </row>
    <row r="17" spans="1:4" x14ac:dyDescent="0.25">
      <c r="A17" s="3">
        <v>14</v>
      </c>
      <c r="B17" s="3">
        <v>30</v>
      </c>
      <c r="C17" s="3">
        <v>5.5</v>
      </c>
      <c r="D17" s="3">
        <v>5</v>
      </c>
    </row>
    <row r="18" spans="1:4" x14ac:dyDescent="0.25">
      <c r="A18" s="3">
        <v>15</v>
      </c>
      <c r="B18" s="3">
        <v>30</v>
      </c>
      <c r="C18" s="3">
        <v>5.5</v>
      </c>
      <c r="D18" s="3">
        <v>5</v>
      </c>
    </row>
    <row r="19" spans="1:4" x14ac:dyDescent="0.25">
      <c r="A19" s="3">
        <v>16</v>
      </c>
      <c r="B19" s="3">
        <v>30</v>
      </c>
      <c r="C19" s="3">
        <v>5.5</v>
      </c>
      <c r="D19" s="3">
        <v>5</v>
      </c>
    </row>
    <row r="20" spans="1:4" x14ac:dyDescent="0.25">
      <c r="A20" s="3">
        <v>17</v>
      </c>
      <c r="B20" s="3">
        <v>30</v>
      </c>
      <c r="C20" s="3">
        <v>5.5</v>
      </c>
      <c r="D20" s="3">
        <v>5</v>
      </c>
    </row>
    <row r="21" spans="1:4" x14ac:dyDescent="0.25">
      <c r="A21" s="3">
        <v>18</v>
      </c>
      <c r="B21" s="3">
        <v>30</v>
      </c>
      <c r="C21" s="3">
        <v>5.5</v>
      </c>
      <c r="D21" s="3">
        <v>5</v>
      </c>
    </row>
    <row r="22" spans="1:4" x14ac:dyDescent="0.25">
      <c r="A22" s="3">
        <v>19</v>
      </c>
      <c r="B22" s="3">
        <v>40</v>
      </c>
      <c r="C22" s="3">
        <v>7.5</v>
      </c>
      <c r="D22" s="3">
        <v>7</v>
      </c>
    </row>
    <row r="23" spans="1:4" x14ac:dyDescent="0.25">
      <c r="A23" s="3">
        <v>20</v>
      </c>
      <c r="B23" s="3">
        <v>40</v>
      </c>
      <c r="C23" s="3">
        <v>7.5</v>
      </c>
      <c r="D23" s="3">
        <v>7</v>
      </c>
    </row>
    <row r="24" spans="1:4" x14ac:dyDescent="0.25">
      <c r="A24" s="3">
        <v>21</v>
      </c>
      <c r="B24" s="3">
        <v>40</v>
      </c>
      <c r="C24" s="3">
        <v>7.5</v>
      </c>
      <c r="D24" s="3">
        <v>7</v>
      </c>
    </row>
    <row r="25" spans="1:4" x14ac:dyDescent="0.25">
      <c r="A25" s="3">
        <v>22</v>
      </c>
      <c r="B25" s="3">
        <v>40</v>
      </c>
      <c r="C25" s="3">
        <v>7.5</v>
      </c>
      <c r="D25" s="3">
        <v>7</v>
      </c>
    </row>
    <row r="26" spans="1:4" x14ac:dyDescent="0.25">
      <c r="A26" s="3">
        <v>23</v>
      </c>
      <c r="B26" s="3">
        <v>40</v>
      </c>
      <c r="C26" s="3">
        <v>7.5</v>
      </c>
      <c r="D26" s="3">
        <v>7</v>
      </c>
    </row>
    <row r="27" spans="1:4" x14ac:dyDescent="0.25">
      <c r="A27" s="3">
        <v>24</v>
      </c>
      <c r="B27" s="3">
        <v>40</v>
      </c>
      <c r="C27" s="3">
        <v>7.5</v>
      </c>
      <c r="D27" s="3">
        <v>7</v>
      </c>
    </row>
    <row r="28" spans="1:4" x14ac:dyDescent="0.25">
      <c r="A28" s="3">
        <v>25</v>
      </c>
      <c r="B28" s="3">
        <v>40</v>
      </c>
      <c r="C28" s="3">
        <v>7.5</v>
      </c>
      <c r="D28" s="3">
        <v>7</v>
      </c>
    </row>
    <row r="29" spans="1:4" x14ac:dyDescent="0.25">
      <c r="A29" s="3">
        <v>26</v>
      </c>
      <c r="B29" s="3">
        <v>41.6</v>
      </c>
      <c r="C29" s="3">
        <v>7.8</v>
      </c>
      <c r="D29" s="3">
        <v>7.2</v>
      </c>
    </row>
    <row r="30" spans="1:4" x14ac:dyDescent="0.25">
      <c r="A30" s="3">
        <v>27</v>
      </c>
      <c r="B30" s="3">
        <v>43.2</v>
      </c>
      <c r="C30" s="3">
        <v>8.1</v>
      </c>
      <c r="D30" s="3">
        <v>7.5</v>
      </c>
    </row>
    <row r="31" spans="1:4" x14ac:dyDescent="0.25">
      <c r="A31" s="3">
        <v>28</v>
      </c>
      <c r="B31" s="3">
        <v>44.8</v>
      </c>
      <c r="C31" s="3">
        <v>8.4</v>
      </c>
      <c r="D31" s="3">
        <v>7.8</v>
      </c>
    </row>
    <row r="32" spans="1:4" x14ac:dyDescent="0.25">
      <c r="A32" s="3">
        <v>29</v>
      </c>
      <c r="B32" s="3">
        <v>46.4</v>
      </c>
      <c r="C32" s="3">
        <v>8.6999999999999993</v>
      </c>
      <c r="D32" s="3">
        <v>8.1</v>
      </c>
    </row>
    <row r="33" spans="1:4" x14ac:dyDescent="0.25">
      <c r="A33" s="3">
        <v>30</v>
      </c>
      <c r="B33" s="3">
        <v>48</v>
      </c>
      <c r="C33" s="3">
        <v>9</v>
      </c>
      <c r="D33" s="3">
        <v>8.4</v>
      </c>
    </row>
    <row r="34" spans="1:4" x14ac:dyDescent="0.25">
      <c r="A34" s="3">
        <v>31</v>
      </c>
      <c r="B34" s="3">
        <v>49.6</v>
      </c>
      <c r="C34" s="3">
        <v>9.3000000000000007</v>
      </c>
      <c r="D34" s="3">
        <v>8.6</v>
      </c>
    </row>
    <row r="35" spans="1:4" x14ac:dyDescent="0.25">
      <c r="A35" s="3">
        <v>32</v>
      </c>
      <c r="B35" s="3">
        <v>51.2</v>
      </c>
      <c r="C35" s="3">
        <v>9.6</v>
      </c>
      <c r="D35" s="3">
        <v>8.9</v>
      </c>
    </row>
    <row r="36" spans="1:4" x14ac:dyDescent="0.25">
      <c r="A36" s="3">
        <v>33</v>
      </c>
      <c r="B36" s="3">
        <v>52.8</v>
      </c>
      <c r="C36" s="3">
        <v>9.9</v>
      </c>
      <c r="D36" s="3">
        <v>9.1999999999999993</v>
      </c>
    </row>
    <row r="37" spans="1:4" x14ac:dyDescent="0.25">
      <c r="A37" s="3">
        <v>34</v>
      </c>
      <c r="B37" s="3">
        <v>54.4</v>
      </c>
      <c r="C37" s="3">
        <v>10.199999999999999</v>
      </c>
      <c r="D37" s="3">
        <v>9.5</v>
      </c>
    </row>
    <row r="38" spans="1:4" x14ac:dyDescent="0.25">
      <c r="A38" s="3">
        <v>35</v>
      </c>
      <c r="B38" s="3">
        <v>56</v>
      </c>
      <c r="C38" s="3">
        <v>10.5</v>
      </c>
      <c r="D38" s="3">
        <v>9.8000000000000007</v>
      </c>
    </row>
    <row r="39" spans="1:4" x14ac:dyDescent="0.25">
      <c r="A39" s="3">
        <v>36</v>
      </c>
      <c r="B39" s="3">
        <v>57.6</v>
      </c>
      <c r="C39" s="3">
        <v>10.8</v>
      </c>
      <c r="D39" s="3">
        <v>10</v>
      </c>
    </row>
    <row r="40" spans="1:4" x14ac:dyDescent="0.25">
      <c r="A40" s="3">
        <v>37</v>
      </c>
      <c r="B40" s="3">
        <v>59.2</v>
      </c>
      <c r="C40" s="3">
        <v>11.1</v>
      </c>
      <c r="D40" s="3">
        <v>10.3</v>
      </c>
    </row>
    <row r="41" spans="1:4" x14ac:dyDescent="0.25">
      <c r="A41" s="3">
        <v>38</v>
      </c>
      <c r="B41" s="3">
        <v>60.8</v>
      </c>
      <c r="C41" s="3">
        <v>11.4</v>
      </c>
      <c r="D41" s="3">
        <v>10.6</v>
      </c>
    </row>
    <row r="42" spans="1:4" x14ac:dyDescent="0.25">
      <c r="A42" s="3">
        <v>39</v>
      </c>
      <c r="B42" s="3">
        <v>62.4</v>
      </c>
      <c r="C42" s="3">
        <v>11.7</v>
      </c>
      <c r="D42" s="3">
        <v>10.9</v>
      </c>
    </row>
    <row r="43" spans="1:4" x14ac:dyDescent="0.25">
      <c r="A43" s="3">
        <v>40</v>
      </c>
      <c r="B43" s="3">
        <v>64</v>
      </c>
      <c r="C43" s="3">
        <v>12</v>
      </c>
      <c r="D43" s="3">
        <v>11.2</v>
      </c>
    </row>
    <row r="44" spans="1:4" x14ac:dyDescent="0.25">
      <c r="A44" s="3">
        <v>41</v>
      </c>
      <c r="B44" s="3">
        <v>65.599999999999994</v>
      </c>
      <c r="C44" s="3">
        <v>12.3</v>
      </c>
      <c r="D44" s="3">
        <v>11.4</v>
      </c>
    </row>
    <row r="45" spans="1:4" x14ac:dyDescent="0.25">
      <c r="A45" s="3">
        <v>42</v>
      </c>
      <c r="B45" s="3">
        <v>67.2</v>
      </c>
      <c r="C45" s="3">
        <v>12.6</v>
      </c>
      <c r="D45" s="3">
        <v>11.7</v>
      </c>
    </row>
    <row r="46" spans="1:4" x14ac:dyDescent="0.25">
      <c r="A46" s="3">
        <v>43</v>
      </c>
      <c r="B46" s="3">
        <v>68.8</v>
      </c>
      <c r="C46" s="3">
        <v>12.9</v>
      </c>
      <c r="D46" s="3">
        <v>12</v>
      </c>
    </row>
    <row r="47" spans="1:4" x14ac:dyDescent="0.25">
      <c r="A47" s="3">
        <v>44</v>
      </c>
      <c r="B47" s="3">
        <v>70.400000000000006</v>
      </c>
      <c r="C47" s="3">
        <v>13.2</v>
      </c>
      <c r="D47" s="3">
        <v>12.3</v>
      </c>
    </row>
    <row r="48" spans="1:4" x14ac:dyDescent="0.25">
      <c r="A48" s="3">
        <v>45</v>
      </c>
      <c r="B48" s="3">
        <v>72</v>
      </c>
      <c r="C48" s="3">
        <v>13.5</v>
      </c>
      <c r="D48" s="3">
        <v>12.6</v>
      </c>
    </row>
    <row r="49" spans="1:4" x14ac:dyDescent="0.25">
      <c r="A49" s="3">
        <v>46</v>
      </c>
      <c r="B49" s="3">
        <v>73.599999999999994</v>
      </c>
      <c r="C49" s="3">
        <v>13.8</v>
      </c>
      <c r="D49" s="3">
        <v>12.8</v>
      </c>
    </row>
    <row r="50" spans="1:4" x14ac:dyDescent="0.25">
      <c r="A50" s="3">
        <v>47</v>
      </c>
      <c r="B50" s="3">
        <v>75.2</v>
      </c>
      <c r="C50" s="3">
        <v>14.1</v>
      </c>
      <c r="D50" s="3">
        <v>13.1</v>
      </c>
    </row>
    <row r="51" spans="1:4" x14ac:dyDescent="0.25">
      <c r="A51" s="3">
        <v>48</v>
      </c>
      <c r="B51" s="3">
        <v>76.8</v>
      </c>
      <c r="C51" s="3">
        <v>14.4</v>
      </c>
      <c r="D51" s="3">
        <v>13.4</v>
      </c>
    </row>
    <row r="52" spans="1:4" x14ac:dyDescent="0.25">
      <c r="A52" s="3">
        <v>49</v>
      </c>
      <c r="B52" s="3">
        <v>78.400000000000006</v>
      </c>
      <c r="C52" s="3">
        <v>14.7</v>
      </c>
      <c r="D52" s="3">
        <v>13.7</v>
      </c>
    </row>
    <row r="53" spans="1:4" x14ac:dyDescent="0.25">
      <c r="A53" s="3">
        <v>50</v>
      </c>
      <c r="B53" s="3">
        <v>80</v>
      </c>
      <c r="C53" s="3">
        <v>15</v>
      </c>
      <c r="D53" s="3">
        <v>14</v>
      </c>
    </row>
    <row r="54" spans="1:4" x14ac:dyDescent="0.25">
      <c r="A54" s="3">
        <v>51</v>
      </c>
      <c r="B54" s="3">
        <v>81.599999999999994</v>
      </c>
      <c r="C54" s="3">
        <v>15.3</v>
      </c>
      <c r="D54" s="3">
        <v>14.2</v>
      </c>
    </row>
    <row r="55" spans="1:4" x14ac:dyDescent="0.25">
      <c r="A55" s="3">
        <v>52</v>
      </c>
      <c r="B55" s="3">
        <v>83.2</v>
      </c>
      <c r="C55" s="3">
        <v>15.6</v>
      </c>
      <c r="D55" s="3">
        <v>14.5</v>
      </c>
    </row>
    <row r="56" spans="1:4" x14ac:dyDescent="0.25">
      <c r="A56" s="3">
        <v>53</v>
      </c>
      <c r="B56" s="3">
        <v>84.8</v>
      </c>
      <c r="C56" s="3">
        <v>15.9</v>
      </c>
      <c r="D56" s="3">
        <v>14.8</v>
      </c>
    </row>
    <row r="57" spans="1:4" x14ac:dyDescent="0.25">
      <c r="A57" s="3">
        <v>54</v>
      </c>
      <c r="B57" s="3">
        <v>86.4</v>
      </c>
      <c r="C57" s="3">
        <v>16.2</v>
      </c>
      <c r="D57" s="3">
        <v>15.1</v>
      </c>
    </row>
    <row r="58" spans="1:4" x14ac:dyDescent="0.25">
      <c r="A58" s="3">
        <v>55</v>
      </c>
      <c r="B58" s="3">
        <v>88</v>
      </c>
      <c r="C58" s="3">
        <v>16.5</v>
      </c>
      <c r="D58" s="3">
        <v>15.4</v>
      </c>
    </row>
    <row r="59" spans="1:4" x14ac:dyDescent="0.25">
      <c r="A59" s="3">
        <v>56</v>
      </c>
      <c r="B59" s="3">
        <v>89.6</v>
      </c>
      <c r="C59" s="3">
        <v>16.8</v>
      </c>
      <c r="D59" s="3">
        <v>15.7</v>
      </c>
    </row>
    <row r="60" spans="1:4" x14ac:dyDescent="0.25">
      <c r="A60" s="3">
        <v>57</v>
      </c>
      <c r="B60" s="3">
        <v>91.2</v>
      </c>
      <c r="C60" s="3">
        <v>17.100000000000001</v>
      </c>
      <c r="D60" s="3">
        <v>16</v>
      </c>
    </row>
    <row r="61" spans="1:4" x14ac:dyDescent="0.25">
      <c r="A61" s="3">
        <v>58</v>
      </c>
      <c r="B61" s="3">
        <v>92.8</v>
      </c>
      <c r="C61" s="3">
        <v>17.399999999999999</v>
      </c>
      <c r="D61" s="3">
        <v>16.3</v>
      </c>
    </row>
    <row r="62" spans="1:4" x14ac:dyDescent="0.25">
      <c r="A62" s="3">
        <v>59</v>
      </c>
      <c r="B62" s="3">
        <v>94.4</v>
      </c>
      <c r="C62" s="3">
        <v>17.7</v>
      </c>
      <c r="D62" s="3">
        <v>16.600000000000001</v>
      </c>
    </row>
    <row r="63" spans="1:4" x14ac:dyDescent="0.25">
      <c r="A63" s="3">
        <v>60</v>
      </c>
      <c r="B63" s="3">
        <v>96</v>
      </c>
      <c r="C63" s="3">
        <v>18</v>
      </c>
      <c r="D63" s="3">
        <v>16.899999999999999</v>
      </c>
    </row>
  </sheetData>
  <sheetProtection algorithmName="SHA-512" hashValue="GrnIJdHLFR0/RHpOj7lu6AJjriu8+7DKjKXs1UgQj8yY4ESCnOFSZI/3OmziOrB7n11jXGj9pVRjAcn1o0w3mQ==" saltValue="L1dHzfgpk8b6bPml38atKg==" spinCount="100000" sheet="1" objects="1" scenarios="1" formatCells="0" formatColumns="0" formatRows="0" insertColumns="0" insertRows="0" insertHyperlinks="0" deleteColumns="0" deleteRows="0"/>
  <mergeCells count="6">
    <mergeCell ref="F4:F5"/>
    <mergeCell ref="G4:G5"/>
    <mergeCell ref="A2:I2"/>
    <mergeCell ref="A1:I1"/>
    <mergeCell ref="H4:I4"/>
    <mergeCell ref="H5:I5"/>
  </mergeCells>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980574-961D-43E6-A7D8-F3E3DF5E917F}">
  <dimension ref="A1:N28"/>
  <sheetViews>
    <sheetView zoomScaleNormal="100" workbookViewId="0">
      <pane ySplit="1" topLeftCell="A13" activePane="bottomLeft" state="frozen"/>
      <selection activeCell="B5" sqref="B5"/>
      <selection pane="bottomLeft" activeCell="D19" sqref="D19"/>
    </sheetView>
  </sheetViews>
  <sheetFormatPr defaultRowHeight="15" x14ac:dyDescent="0.25"/>
  <cols>
    <col min="1" max="1" width="17.7109375" customWidth="1"/>
    <col min="2" max="2" width="37.85546875" customWidth="1"/>
    <col min="3" max="3" width="51.140625" bestFit="1" customWidth="1"/>
    <col min="4" max="4" width="26" bestFit="1" customWidth="1"/>
    <col min="5" max="5" width="24.42578125" bestFit="1" customWidth="1"/>
    <col min="6" max="6" width="42.7109375" bestFit="1" customWidth="1"/>
    <col min="7" max="7" width="27.140625" bestFit="1" customWidth="1"/>
    <col min="8" max="8" width="12.5703125" customWidth="1"/>
  </cols>
  <sheetData>
    <row r="1" spans="1:10" ht="30" customHeight="1" x14ac:dyDescent="0.45">
      <c r="A1" s="202" t="s">
        <v>78</v>
      </c>
      <c r="B1" s="202"/>
      <c r="C1" s="202"/>
      <c r="D1" s="202"/>
      <c r="E1" s="202"/>
      <c r="F1" s="202"/>
      <c r="G1" s="202"/>
    </row>
    <row r="2" spans="1:10" ht="21" x14ac:dyDescent="0.35">
      <c r="A2" s="200" t="s">
        <v>79</v>
      </c>
      <c r="B2" s="200"/>
      <c r="C2" s="200"/>
      <c r="D2" s="200"/>
      <c r="E2" s="200"/>
      <c r="F2" s="200"/>
      <c r="G2" s="200"/>
    </row>
    <row r="3" spans="1:10" x14ac:dyDescent="0.25">
      <c r="A3" s="6"/>
      <c r="B3" s="7"/>
      <c r="C3" s="1" t="s">
        <v>80</v>
      </c>
      <c r="D3" s="1" t="s">
        <v>81</v>
      </c>
      <c r="E3" s="1" t="s">
        <v>82</v>
      </c>
      <c r="F3" s="225" t="s">
        <v>83</v>
      </c>
      <c r="G3" s="225"/>
    </row>
    <row r="4" spans="1:10" x14ac:dyDescent="0.25">
      <c r="A4" s="35" t="s">
        <v>84</v>
      </c>
      <c r="B4" s="22" t="s">
        <v>85</v>
      </c>
      <c r="C4" s="170"/>
      <c r="D4" s="170"/>
      <c r="E4" s="170"/>
      <c r="F4" s="219"/>
      <c r="G4" s="219"/>
    </row>
    <row r="5" spans="1:10" x14ac:dyDescent="0.25">
      <c r="A5" s="30" t="s">
        <v>86</v>
      </c>
      <c r="B5" s="15" t="s">
        <v>87</v>
      </c>
      <c r="C5" s="170"/>
      <c r="D5" s="170"/>
      <c r="E5" s="170"/>
      <c r="F5" s="226"/>
      <c r="G5" s="226"/>
    </row>
    <row r="6" spans="1:10" ht="21" x14ac:dyDescent="0.35">
      <c r="A6" s="200" t="s">
        <v>88</v>
      </c>
      <c r="B6" s="200"/>
      <c r="C6" s="200"/>
      <c r="D6" s="200"/>
      <c r="E6" s="200"/>
      <c r="F6" s="200"/>
      <c r="G6" s="200"/>
    </row>
    <row r="7" spans="1:10" ht="15" customHeight="1" x14ac:dyDescent="0.25">
      <c r="A7" s="215" t="s">
        <v>397</v>
      </c>
      <c r="B7" s="215"/>
      <c r="C7" s="215"/>
      <c r="D7" s="215"/>
      <c r="E7" s="215"/>
      <c r="F7" s="214"/>
      <c r="G7" s="214"/>
    </row>
    <row r="8" spans="1:10" ht="21" x14ac:dyDescent="0.35">
      <c r="A8" s="200" t="s">
        <v>89</v>
      </c>
      <c r="B8" s="200"/>
      <c r="C8" s="200"/>
      <c r="D8" s="200"/>
      <c r="E8" s="200"/>
      <c r="F8" s="200"/>
      <c r="G8" s="200"/>
    </row>
    <row r="9" spans="1:10" x14ac:dyDescent="0.25">
      <c r="A9" s="1" t="s">
        <v>90</v>
      </c>
      <c r="B9" s="7"/>
      <c r="C9" s="1" t="s">
        <v>80</v>
      </c>
      <c r="D9" s="1" t="s">
        <v>81</v>
      </c>
      <c r="E9" s="1" t="s">
        <v>82</v>
      </c>
      <c r="F9" s="225" t="s">
        <v>83</v>
      </c>
      <c r="G9" s="225"/>
    </row>
    <row r="10" spans="1:10" ht="45" x14ac:dyDescent="0.25">
      <c r="A10" s="11">
        <v>1</v>
      </c>
      <c r="B10" s="22" t="s">
        <v>91</v>
      </c>
      <c r="C10" s="119">
        <f>'Prep-Parameter'!H8</f>
        <v>0</v>
      </c>
      <c r="D10" s="171"/>
      <c r="E10" s="171"/>
      <c r="F10" s="218" t="s">
        <v>92</v>
      </c>
      <c r="G10" s="219"/>
    </row>
    <row r="11" spans="1:10" ht="45" x14ac:dyDescent="0.25">
      <c r="A11" s="12">
        <v>2</v>
      </c>
      <c r="B11" s="23" t="s">
        <v>93</v>
      </c>
      <c r="C11" s="171"/>
      <c r="D11" s="171"/>
      <c r="E11" s="171"/>
      <c r="F11" s="216"/>
      <c r="G11" s="217"/>
      <c r="J11" t="s">
        <v>94</v>
      </c>
    </row>
    <row r="12" spans="1:10" ht="30" x14ac:dyDescent="0.25">
      <c r="A12" s="11">
        <v>3</v>
      </c>
      <c r="B12" s="22" t="s">
        <v>95</v>
      </c>
      <c r="C12" s="172"/>
      <c r="D12" s="172"/>
      <c r="E12" s="172"/>
      <c r="F12" s="218"/>
      <c r="G12" s="219"/>
    </row>
    <row r="13" spans="1:10" ht="30" x14ac:dyDescent="0.25">
      <c r="A13" s="12">
        <v>4</v>
      </c>
      <c r="B13" s="23" t="s">
        <v>96</v>
      </c>
      <c r="C13" s="173"/>
      <c r="D13" s="173"/>
      <c r="E13" s="173"/>
      <c r="F13" s="216"/>
      <c r="G13" s="217"/>
    </row>
    <row r="14" spans="1:10" ht="30" x14ac:dyDescent="0.25">
      <c r="A14" s="11">
        <v>5</v>
      </c>
      <c r="B14" s="21" t="s">
        <v>97</v>
      </c>
      <c r="C14" s="50">
        <f>SUM(C12:C13)</f>
        <v>0</v>
      </c>
      <c r="D14" s="50">
        <f>SUM(D12:D13)</f>
        <v>0</v>
      </c>
      <c r="E14" s="50">
        <f>SUM(E12:E13)</f>
        <v>0</v>
      </c>
      <c r="F14" s="218" t="s">
        <v>98</v>
      </c>
      <c r="G14" s="219"/>
    </row>
    <row r="15" spans="1:10" x14ac:dyDescent="0.25">
      <c r="A15" s="12">
        <v>6</v>
      </c>
      <c r="B15" s="20" t="s">
        <v>99</v>
      </c>
      <c r="C15" s="50">
        <f>IFERROR(ROUND((C14/C11),2),0)</f>
        <v>0</v>
      </c>
      <c r="D15" s="50">
        <f>IFERROR(ROUND((D14/D11),2),0)</f>
        <v>0</v>
      </c>
      <c r="E15" s="50">
        <f>IFERROR(ROUND((E14/E11),2),0)</f>
        <v>0</v>
      </c>
      <c r="F15" s="224" t="s">
        <v>428</v>
      </c>
      <c r="G15" s="224"/>
    </row>
    <row r="16" spans="1:10" ht="21" x14ac:dyDescent="0.35">
      <c r="A16" s="200" t="s">
        <v>101</v>
      </c>
      <c r="B16" s="200"/>
      <c r="C16" s="200"/>
      <c r="D16" s="200"/>
      <c r="E16" s="200"/>
      <c r="F16" s="200"/>
      <c r="G16" s="200"/>
    </row>
    <row r="17" spans="1:14" x14ac:dyDescent="0.25">
      <c r="A17" s="1" t="s">
        <v>102</v>
      </c>
      <c r="B17" s="27" t="s">
        <v>103</v>
      </c>
      <c r="C17" s="38" t="s">
        <v>477</v>
      </c>
      <c r="D17" s="29" t="s">
        <v>104</v>
      </c>
      <c r="E17" s="29" t="s">
        <v>89</v>
      </c>
      <c r="F17" s="29" t="s">
        <v>105</v>
      </c>
      <c r="G17" s="29" t="s">
        <v>106</v>
      </c>
    </row>
    <row r="18" spans="1:14" x14ac:dyDescent="0.25">
      <c r="A18" s="1" t="s">
        <v>107</v>
      </c>
      <c r="B18" s="27" t="s">
        <v>108</v>
      </c>
      <c r="C18" s="29" t="s">
        <v>478</v>
      </c>
      <c r="D18" s="29" t="s">
        <v>109</v>
      </c>
      <c r="E18" s="29" t="s">
        <v>110</v>
      </c>
      <c r="F18" s="29" t="s">
        <v>111</v>
      </c>
      <c r="G18" s="29" t="s">
        <v>112</v>
      </c>
    </row>
    <row r="19" spans="1:14" x14ac:dyDescent="0.25">
      <c r="A19" s="24" t="s">
        <v>113</v>
      </c>
      <c r="B19" s="222">
        <f>C10</f>
        <v>0</v>
      </c>
      <c r="C19" s="171"/>
      <c r="D19" s="118">
        <f>IFERROR((ROUND((B19*C19),0)),0)</f>
        <v>0</v>
      </c>
      <c r="E19" s="50">
        <f>C15</f>
        <v>0</v>
      </c>
      <c r="F19" s="50">
        <f>ROUNDUP((D19*E19),0)</f>
        <v>0</v>
      </c>
      <c r="G19" s="223">
        <f>IF(((SUM(F19:F21)))&gt;0,(10*B19),0)</f>
        <v>0</v>
      </c>
    </row>
    <row r="20" spans="1:14" x14ac:dyDescent="0.25">
      <c r="A20" s="15" t="s">
        <v>114</v>
      </c>
      <c r="B20" s="222"/>
      <c r="C20" s="171"/>
      <c r="D20" s="118">
        <f>IFERROR((ROUND((B19*C20),0)),0)</f>
        <v>0</v>
      </c>
      <c r="E20" s="50">
        <f>D15</f>
        <v>0</v>
      </c>
      <c r="F20" s="50">
        <f>ROUNDUP((D20*E20),0)</f>
        <v>0</v>
      </c>
      <c r="G20" s="223"/>
    </row>
    <row r="21" spans="1:14" x14ac:dyDescent="0.25">
      <c r="A21" s="8" t="s">
        <v>115</v>
      </c>
      <c r="B21" s="222"/>
      <c r="C21" s="171"/>
      <c r="D21" s="118">
        <f>IFERROR((ROUND((B19*C21),0)),0)</f>
        <v>0</v>
      </c>
      <c r="E21" s="50">
        <f>E15</f>
        <v>0</v>
      </c>
      <c r="F21" s="50">
        <f>ROUNDUP((D21*E21),0)</f>
        <v>0</v>
      </c>
      <c r="G21" s="223"/>
    </row>
    <row r="22" spans="1:14" ht="21.75" thickBot="1" x14ac:dyDescent="0.4">
      <c r="A22" s="200" t="s">
        <v>116</v>
      </c>
      <c r="B22" s="200"/>
      <c r="C22" s="200"/>
      <c r="D22" s="200"/>
      <c r="E22" s="200"/>
      <c r="F22" s="200"/>
      <c r="G22" s="200"/>
    </row>
    <row r="23" spans="1:14" ht="19.5" thickBot="1" x14ac:dyDescent="0.35">
      <c r="A23" s="220" t="s">
        <v>117</v>
      </c>
      <c r="B23" s="220"/>
      <c r="C23" s="220"/>
      <c r="D23" s="220"/>
      <c r="E23" s="220"/>
      <c r="F23" s="221"/>
      <c r="G23" s="41">
        <f>ROUNDUP(((SUM(F19:F21))+G19),0)</f>
        <v>0</v>
      </c>
    </row>
    <row r="24" spans="1:14" ht="21" x14ac:dyDescent="0.35">
      <c r="A24" s="200" t="s">
        <v>57</v>
      </c>
      <c r="B24" s="200"/>
      <c r="C24" s="200"/>
      <c r="D24" s="200"/>
      <c r="E24" s="200"/>
      <c r="F24" s="200"/>
      <c r="G24" s="200"/>
    </row>
    <row r="25" spans="1:14" ht="15" customHeight="1" x14ac:dyDescent="0.25">
      <c r="A25" s="207" t="s">
        <v>118</v>
      </c>
      <c r="B25" s="207"/>
      <c r="C25" s="207"/>
      <c r="D25" s="207"/>
      <c r="E25" s="207"/>
      <c r="F25" s="207"/>
      <c r="G25" s="207"/>
    </row>
    <row r="26" spans="1:14" x14ac:dyDescent="0.25">
      <c r="A26" s="213"/>
      <c r="B26" s="213"/>
      <c r="C26" s="213"/>
      <c r="D26" s="213"/>
      <c r="E26" s="213"/>
      <c r="F26" s="213"/>
      <c r="G26" s="213"/>
      <c r="H26" s="70"/>
      <c r="I26" s="70"/>
      <c r="J26" s="70"/>
      <c r="K26" s="70"/>
      <c r="L26" s="70"/>
      <c r="M26" s="70"/>
      <c r="N26" s="70"/>
    </row>
    <row r="27" spans="1:14" x14ac:dyDescent="0.25">
      <c r="A27" s="213"/>
      <c r="B27" s="213"/>
      <c r="C27" s="213"/>
      <c r="D27" s="213"/>
      <c r="E27" s="213"/>
      <c r="F27" s="213"/>
      <c r="G27" s="213"/>
      <c r="H27" s="70"/>
      <c r="I27" s="70"/>
      <c r="J27" s="70"/>
      <c r="K27" s="70"/>
      <c r="L27" s="70"/>
      <c r="M27" s="70"/>
      <c r="N27" s="70"/>
    </row>
    <row r="28" spans="1:14" x14ac:dyDescent="0.25">
      <c r="A28" s="213"/>
      <c r="B28" s="213"/>
      <c r="C28" s="213"/>
      <c r="D28" s="213"/>
      <c r="E28" s="213"/>
      <c r="F28" s="213"/>
      <c r="G28" s="213"/>
    </row>
  </sheetData>
  <sheetProtection algorithmName="SHA-512" hashValue="G2zp7mUXLzxnuC5MxUADR6Gu4g6TjK88OQUS6Rcqu7XPbVpsQr5OynT9OlkfIq2YIzvsOivbi/yNUMZcswsy5w==" saltValue="UoJKB0DNE/Ncfw7ZPm569A==" spinCount="100000" sheet="1" objects="1" scenarios="1" formatCells="0" formatColumns="0" formatRows="0" insertColumns="0" insertRows="0" insertHyperlinks="0" deleteColumns="0" deleteRows="0"/>
  <mergeCells count="24">
    <mergeCell ref="F15:G15"/>
    <mergeCell ref="A1:G1"/>
    <mergeCell ref="A8:G8"/>
    <mergeCell ref="F9:G9"/>
    <mergeCell ref="A2:G2"/>
    <mergeCell ref="F3:G3"/>
    <mergeCell ref="F4:G4"/>
    <mergeCell ref="F5:G5"/>
    <mergeCell ref="A26:G28"/>
    <mergeCell ref="A6:G6"/>
    <mergeCell ref="F7:G7"/>
    <mergeCell ref="A7:E7"/>
    <mergeCell ref="A25:G25"/>
    <mergeCell ref="F11:G11"/>
    <mergeCell ref="F10:G10"/>
    <mergeCell ref="F14:G14"/>
    <mergeCell ref="F13:G13"/>
    <mergeCell ref="F12:G12"/>
    <mergeCell ref="A24:G24"/>
    <mergeCell ref="A23:F23"/>
    <mergeCell ref="A22:G22"/>
    <mergeCell ref="A16:G16"/>
    <mergeCell ref="B19:B21"/>
    <mergeCell ref="G19:G21"/>
  </mergeCells>
  <dataValidations count="1">
    <dataValidation type="list" showInputMessage="1" showErrorMessage="1" sqref="F7:G7" xr:uid="{E53755E6-8607-4E6B-A3BC-D8587F44957F}">
      <formula1>"Standard,Actual/Varied"</formula1>
    </dataValidation>
  </dataValidations>
  <pageMargins left="0.7" right="0.7" top="0.75" bottom="0.75" header="0.3" footer="0.3"/>
  <pageSetup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E33A6-65F2-4CC0-8011-708EEBB39F31}">
  <dimension ref="A1:N55"/>
  <sheetViews>
    <sheetView topLeftCell="A31" zoomScaleNormal="100" workbookViewId="0">
      <selection activeCell="B40" sqref="B40"/>
    </sheetView>
  </sheetViews>
  <sheetFormatPr defaultRowHeight="15" x14ac:dyDescent="0.25"/>
  <cols>
    <col min="1" max="1" width="26.140625" bestFit="1" customWidth="1"/>
    <col min="2" max="2" width="44.42578125" customWidth="1"/>
    <col min="3" max="3" width="24.85546875" bestFit="1" customWidth="1"/>
    <col min="4" max="4" width="27.7109375" bestFit="1" customWidth="1"/>
    <col min="5" max="5" width="31.140625" bestFit="1" customWidth="1"/>
    <col min="6" max="6" width="37.7109375" customWidth="1"/>
    <col min="7" max="7" width="56.28515625" bestFit="1" customWidth="1"/>
    <col min="11" max="11" width="9.140625" bestFit="1" customWidth="1"/>
  </cols>
  <sheetData>
    <row r="1" spans="1:7" ht="30" customHeight="1" x14ac:dyDescent="0.45">
      <c r="A1" s="202" t="s">
        <v>476</v>
      </c>
      <c r="B1" s="202"/>
      <c r="C1" s="202"/>
      <c r="D1" s="202"/>
      <c r="E1" s="202"/>
      <c r="F1" s="202"/>
      <c r="G1" s="202"/>
    </row>
    <row r="2" spans="1:7" ht="21" x14ac:dyDescent="0.35">
      <c r="A2" s="200" t="s">
        <v>430</v>
      </c>
      <c r="B2" s="200"/>
      <c r="C2" s="200"/>
      <c r="D2" s="200"/>
      <c r="E2" s="200"/>
      <c r="F2" s="200"/>
      <c r="G2" s="200"/>
    </row>
    <row r="3" spans="1:7" ht="14.45" customHeight="1" x14ac:dyDescent="0.25">
      <c r="A3" s="208" t="s">
        <v>119</v>
      </c>
      <c r="B3" s="130" t="s">
        <v>120</v>
      </c>
      <c r="C3" s="29" t="s">
        <v>121</v>
      </c>
      <c r="D3" s="133" t="s">
        <v>431</v>
      </c>
      <c r="E3" s="133" t="s">
        <v>434</v>
      </c>
      <c r="F3" s="227" t="s">
        <v>435</v>
      </c>
      <c r="G3" s="227"/>
    </row>
    <row r="4" spans="1:7" x14ac:dyDescent="0.25">
      <c r="A4" s="208"/>
      <c r="B4" s="155" t="s">
        <v>474</v>
      </c>
      <c r="C4" s="29" t="s">
        <v>124</v>
      </c>
      <c r="D4" s="130" t="s">
        <v>475</v>
      </c>
      <c r="E4" s="130" t="s">
        <v>432</v>
      </c>
      <c r="F4" s="227" t="s">
        <v>436</v>
      </c>
      <c r="G4" s="227"/>
    </row>
    <row r="5" spans="1:7" x14ac:dyDescent="0.25">
      <c r="A5" s="8" t="s">
        <v>126</v>
      </c>
      <c r="B5" s="174"/>
      <c r="C5" s="151">
        <v>0.75</v>
      </c>
      <c r="D5" s="149">
        <f>IF(B5&gt;0,(IF(((B5*C5)&gt;10),(B5*C5),10)),0)</f>
        <v>0</v>
      </c>
      <c r="E5" s="156">
        <v>10</v>
      </c>
      <c r="F5" s="239">
        <f>ROUNDUP((SUMIFS(D5:D28,B5:B28,"&gt;0")),0)</f>
        <v>0</v>
      </c>
      <c r="G5" s="240"/>
    </row>
    <row r="6" spans="1:7" x14ac:dyDescent="0.25">
      <c r="A6" s="8" t="s">
        <v>127</v>
      </c>
      <c r="B6" s="175"/>
      <c r="C6" s="92">
        <v>0.8</v>
      </c>
      <c r="D6" s="148">
        <f>IF(B6&gt;0,(IF(((B6*C6)&gt;11),(B6*C6),11)),0)</f>
        <v>0</v>
      </c>
      <c r="E6" s="157">
        <v>11</v>
      </c>
      <c r="F6" s="235" t="s">
        <v>395</v>
      </c>
      <c r="G6" s="238"/>
    </row>
    <row r="7" spans="1:7" x14ac:dyDescent="0.25">
      <c r="A7" s="15" t="s">
        <v>128</v>
      </c>
      <c r="B7" s="176"/>
      <c r="C7" s="151">
        <v>0.55000000000000004</v>
      </c>
      <c r="D7" s="149">
        <f>IF(B7&gt;0,(IF(((B7*C7)&gt;8),(B7*C7),8)),0)</f>
        <v>0</v>
      </c>
      <c r="E7" s="158">
        <v>8</v>
      </c>
      <c r="F7" s="235" t="s">
        <v>396</v>
      </c>
      <c r="G7" s="238"/>
    </row>
    <row r="8" spans="1:7" x14ac:dyDescent="0.25">
      <c r="A8" s="15" t="s">
        <v>129</v>
      </c>
      <c r="B8" s="176"/>
      <c r="C8" s="92">
        <v>0.6</v>
      </c>
      <c r="D8" s="148">
        <f>IF(B8&gt;0,(IF(((B8*C8)&gt;9),(B8*C8),9)),0)</f>
        <v>0</v>
      </c>
      <c r="E8" s="159">
        <v>9</v>
      </c>
      <c r="F8" s="230"/>
      <c r="G8" s="231"/>
    </row>
    <row r="9" spans="1:7" ht="15" customHeight="1" x14ac:dyDescent="0.25">
      <c r="A9" s="8" t="s">
        <v>130</v>
      </c>
      <c r="B9" s="176"/>
      <c r="C9" s="151">
        <v>0.85</v>
      </c>
      <c r="D9" s="149">
        <f>IF(B9&gt;0,(IF(((B9*C9)&gt;10),(B9*C9),10)),0)</f>
        <v>0</v>
      </c>
      <c r="E9" s="160">
        <v>10</v>
      </c>
      <c r="F9" s="235" t="s">
        <v>131</v>
      </c>
      <c r="G9" s="227"/>
    </row>
    <row r="10" spans="1:7" x14ac:dyDescent="0.25">
      <c r="A10" s="8" t="s">
        <v>132</v>
      </c>
      <c r="B10" s="176"/>
      <c r="C10" s="92">
        <v>0.9</v>
      </c>
      <c r="D10" s="148">
        <f>IF(B10&gt;0,(IF(((B10*C10)&gt;11),(B10*C10),11)),0)</f>
        <v>0</v>
      </c>
      <c r="E10" s="157">
        <v>11</v>
      </c>
      <c r="F10" s="235" t="s">
        <v>133</v>
      </c>
      <c r="G10" s="227"/>
    </row>
    <row r="11" spans="1:7" ht="15" customHeight="1" x14ac:dyDescent="0.25">
      <c r="A11" s="15" t="s">
        <v>134</v>
      </c>
      <c r="B11" s="176"/>
      <c r="C11" s="151">
        <v>0.65</v>
      </c>
      <c r="D11" s="149">
        <f>IF(B11&gt;0,(IF(((B11*C11)&gt;8),(B11*C11),8)),0)</f>
        <v>0</v>
      </c>
      <c r="E11" s="158">
        <v>8</v>
      </c>
      <c r="F11" s="236">
        <f>IF(SUM(B6,B8,B10,B12,B14,B16,B18,B20,B22,B24,B26,B28)&gt;0,1,0)</f>
        <v>0</v>
      </c>
      <c r="G11" s="237"/>
    </row>
    <row r="12" spans="1:7" ht="15" customHeight="1" x14ac:dyDescent="0.25">
      <c r="A12" s="15" t="s">
        <v>135</v>
      </c>
      <c r="B12" s="176"/>
      <c r="C12" s="92">
        <v>0.7</v>
      </c>
      <c r="D12" s="148">
        <f>IF(B12&gt;0,(IF(((B12*C12)&gt;9),(B12*C12),9)),0)</f>
        <v>0</v>
      </c>
      <c r="E12" s="159">
        <v>9</v>
      </c>
      <c r="F12" s="236"/>
      <c r="G12" s="237"/>
    </row>
    <row r="13" spans="1:7" ht="15" customHeight="1" x14ac:dyDescent="0.25">
      <c r="A13" s="8" t="s">
        <v>136</v>
      </c>
      <c r="B13" s="176"/>
      <c r="C13" s="151">
        <v>0.8</v>
      </c>
      <c r="D13" s="149">
        <f>IF(B13&gt;0,(IF(((B13*C13)&gt;11),(B13*C13),11)),0)</f>
        <v>0</v>
      </c>
      <c r="E13" s="160">
        <v>11</v>
      </c>
      <c r="F13" s="235" t="s">
        <v>437</v>
      </c>
      <c r="G13" s="238"/>
    </row>
    <row r="14" spans="1:7" x14ac:dyDescent="0.25">
      <c r="A14" s="8" t="s">
        <v>137</v>
      </c>
      <c r="B14" s="176"/>
      <c r="C14" s="92">
        <v>0.85</v>
      </c>
      <c r="D14" s="148">
        <f>IF(B14&gt;0,(IF(((B14*C14)&gt;12),(B14*C14),12)),0)</f>
        <v>0</v>
      </c>
      <c r="E14" s="157">
        <v>12</v>
      </c>
      <c r="F14" s="235" t="s">
        <v>412</v>
      </c>
      <c r="G14" s="238"/>
    </row>
    <row r="15" spans="1:7" x14ac:dyDescent="0.25">
      <c r="A15" s="15" t="s">
        <v>138</v>
      </c>
      <c r="B15" s="176"/>
      <c r="C15" s="151">
        <v>0.65</v>
      </c>
      <c r="D15" s="149">
        <f>IF(B15&gt;0,(IF(((B15*C15)&gt;8),(B15*C15),8)),0)</f>
        <v>0</v>
      </c>
      <c r="E15" s="158">
        <v>8</v>
      </c>
      <c r="F15" s="230"/>
      <c r="G15" s="231"/>
    </row>
    <row r="16" spans="1:7" x14ac:dyDescent="0.25">
      <c r="A16" s="15" t="s">
        <v>139</v>
      </c>
      <c r="B16" s="176"/>
      <c r="C16" s="151">
        <v>0.7</v>
      </c>
      <c r="D16" s="148">
        <f>IF(B16&gt;0,(IF(((B16*C16)&gt;9),(B16*C16),9)),0)</f>
        <v>0</v>
      </c>
      <c r="E16" s="159">
        <v>9</v>
      </c>
      <c r="F16" s="232" t="s">
        <v>140</v>
      </c>
      <c r="G16" s="208"/>
    </row>
    <row r="17" spans="1:7" x14ac:dyDescent="0.25">
      <c r="A17" s="8" t="s">
        <v>141</v>
      </c>
      <c r="B17" s="176"/>
      <c r="C17" s="92">
        <v>1</v>
      </c>
      <c r="D17" s="149">
        <f>IF(B17&gt;0,(IF(((B17*C17)&gt;11.5),(B17*C17),11.5)),0)</f>
        <v>0</v>
      </c>
      <c r="E17" s="160">
        <v>11.5</v>
      </c>
      <c r="F17" s="233" t="s">
        <v>142</v>
      </c>
      <c r="G17" s="234"/>
    </row>
    <row r="18" spans="1:7" x14ac:dyDescent="0.25">
      <c r="A18" s="8" t="s">
        <v>143</v>
      </c>
      <c r="B18" s="176"/>
      <c r="C18" s="151">
        <v>1.05</v>
      </c>
      <c r="D18" s="148">
        <f>IF(B18&gt;0,(IF(((B18*C18)&gt;12.5),(B18*C18),12.5)),0)</f>
        <v>0</v>
      </c>
      <c r="E18" s="157">
        <v>12.5</v>
      </c>
      <c r="F18" s="228" t="s">
        <v>94</v>
      </c>
      <c r="G18" s="229"/>
    </row>
    <row r="19" spans="1:7" x14ac:dyDescent="0.25">
      <c r="A19" s="15" t="s">
        <v>144</v>
      </c>
      <c r="B19" s="176"/>
      <c r="C19" s="151">
        <v>0.8</v>
      </c>
      <c r="D19" s="149">
        <f>IF(B19&gt;0,(IF(((B19*C19)&gt;9.5),(B19*C19),9.5)),0)</f>
        <v>0</v>
      </c>
      <c r="E19" s="158">
        <v>9.5</v>
      </c>
      <c r="F19" s="228"/>
      <c r="G19" s="229"/>
    </row>
    <row r="20" spans="1:7" x14ac:dyDescent="0.25">
      <c r="A20" s="15" t="s">
        <v>145</v>
      </c>
      <c r="B20" s="176"/>
      <c r="C20" s="92">
        <v>0.85</v>
      </c>
      <c r="D20" s="148">
        <f>IF(B20&gt;0,(IF(((B20*C20)&gt;10.5),(B20*C20),10.5)),0)</f>
        <v>0</v>
      </c>
      <c r="E20" s="159">
        <v>10.5</v>
      </c>
      <c r="F20" s="228"/>
      <c r="G20" s="229"/>
    </row>
    <row r="21" spans="1:7" x14ac:dyDescent="0.25">
      <c r="A21" s="8" t="s">
        <v>146</v>
      </c>
      <c r="B21" s="176"/>
      <c r="C21" s="151">
        <v>0.95</v>
      </c>
      <c r="D21" s="149">
        <f>IF(B21&gt;0,(IF(((B21*C21)&gt;11),(B21*C21),11)),0)</f>
        <v>0</v>
      </c>
      <c r="E21" s="160">
        <v>11</v>
      </c>
      <c r="F21" s="228"/>
      <c r="G21" s="229"/>
    </row>
    <row r="22" spans="1:7" x14ac:dyDescent="0.25">
      <c r="A22" s="8" t="s">
        <v>147</v>
      </c>
      <c r="B22" s="176"/>
      <c r="C22" s="151">
        <v>1</v>
      </c>
      <c r="D22" s="148">
        <f>IF(B22&gt;0,(IF(((B22*C22)&gt;12),(B22*C22),12)),0)</f>
        <v>0</v>
      </c>
      <c r="E22" s="157">
        <v>12</v>
      </c>
      <c r="F22" s="228"/>
      <c r="G22" s="229"/>
    </row>
    <row r="23" spans="1:7" x14ac:dyDescent="0.25">
      <c r="A23" s="15" t="s">
        <v>148</v>
      </c>
      <c r="B23" s="176"/>
      <c r="C23" s="92">
        <v>0.75</v>
      </c>
      <c r="D23" s="149">
        <f>IF(B23&gt;0,(IF(((B23*C23)&gt;9.5),(B23*C23),9.5)),0)</f>
        <v>0</v>
      </c>
      <c r="E23" s="158">
        <v>9.5</v>
      </c>
      <c r="F23" s="228"/>
      <c r="G23" s="229"/>
    </row>
    <row r="24" spans="1:7" x14ac:dyDescent="0.25">
      <c r="A24" s="15" t="s">
        <v>149</v>
      </c>
      <c r="B24" s="176"/>
      <c r="C24" s="151">
        <v>0.8</v>
      </c>
      <c r="D24" s="148">
        <f>IF(B24&gt;0,(IF(((B24*C24)&gt;10.5),(B24*C24),10.5)),0)</f>
        <v>0</v>
      </c>
      <c r="E24" s="159">
        <v>10.5</v>
      </c>
      <c r="F24" s="228"/>
      <c r="G24" s="229"/>
    </row>
    <row r="25" spans="1:7" x14ac:dyDescent="0.25">
      <c r="A25" s="8" t="s">
        <v>150</v>
      </c>
      <c r="B25" s="176"/>
      <c r="C25" s="151">
        <v>1</v>
      </c>
      <c r="D25" s="149">
        <f>IF(B25&gt;0,(IF(((B25*C25)&gt;11.5),(B25*C25),11.5)),0)</f>
        <v>0</v>
      </c>
      <c r="E25" s="160">
        <v>11.5</v>
      </c>
      <c r="F25" s="228"/>
      <c r="G25" s="229"/>
    </row>
    <row r="26" spans="1:7" x14ac:dyDescent="0.25">
      <c r="A26" s="8" t="s">
        <v>151</v>
      </c>
      <c r="B26" s="176"/>
      <c r="C26" s="92">
        <v>1.05</v>
      </c>
      <c r="D26" s="148">
        <f>IF(B26&gt;0,(IF(((B26*C26)&gt;12.5),(B26*C26),12.5)),0)</f>
        <v>0</v>
      </c>
      <c r="E26" s="157">
        <v>12.5</v>
      </c>
      <c r="F26" s="228"/>
      <c r="G26" s="229"/>
    </row>
    <row r="27" spans="1:7" x14ac:dyDescent="0.25">
      <c r="A27" s="15" t="s">
        <v>152</v>
      </c>
      <c r="B27" s="176"/>
      <c r="C27" s="151">
        <v>0.85</v>
      </c>
      <c r="D27" s="149">
        <f>IF(B27&gt;0,(IF(((B27*C27)&gt;8),(B27*C27),8)),0)</f>
        <v>0</v>
      </c>
      <c r="E27" s="158">
        <v>8</v>
      </c>
      <c r="F27" s="228"/>
      <c r="G27" s="229"/>
    </row>
    <row r="28" spans="1:7" x14ac:dyDescent="0.25">
      <c r="A28" s="15" t="s">
        <v>153</v>
      </c>
      <c r="B28" s="177"/>
      <c r="C28" s="150">
        <v>0.9</v>
      </c>
      <c r="D28" s="148">
        <f>IF(B28&gt;0,(IF(((B28*C28)&gt;9),(B28*C28),9)),0)</f>
        <v>0</v>
      </c>
      <c r="E28" s="161">
        <v>9</v>
      </c>
      <c r="F28" s="228"/>
      <c r="G28" s="229"/>
    </row>
    <row r="29" spans="1:7" ht="21" x14ac:dyDescent="0.35">
      <c r="A29" s="200" t="s">
        <v>89</v>
      </c>
      <c r="B29" s="200"/>
      <c r="C29" s="200"/>
      <c r="D29" s="200"/>
      <c r="E29" s="200"/>
      <c r="F29" s="200"/>
      <c r="G29" s="200"/>
    </row>
    <row r="30" spans="1:7" x14ac:dyDescent="0.25">
      <c r="A30" s="6" t="s">
        <v>90</v>
      </c>
      <c r="B30" s="7"/>
      <c r="C30" s="1" t="s">
        <v>154</v>
      </c>
      <c r="D30" s="1" t="s">
        <v>81</v>
      </c>
      <c r="E30" s="1" t="s">
        <v>82</v>
      </c>
      <c r="F30" s="225" t="s">
        <v>83</v>
      </c>
      <c r="G30" s="225"/>
    </row>
    <row r="31" spans="1:7" ht="30" x14ac:dyDescent="0.25">
      <c r="A31" s="11">
        <v>1</v>
      </c>
      <c r="B31" s="22" t="s">
        <v>155</v>
      </c>
      <c r="C31" s="170"/>
      <c r="D31" s="170"/>
      <c r="E31" s="170"/>
      <c r="F31" s="218"/>
      <c r="G31" s="219"/>
    </row>
    <row r="32" spans="1:7" ht="30" x14ac:dyDescent="0.25">
      <c r="A32" s="12">
        <v>2</v>
      </c>
      <c r="B32" s="23" t="s">
        <v>93</v>
      </c>
      <c r="C32" s="170"/>
      <c r="D32" s="170"/>
      <c r="E32" s="170"/>
      <c r="F32" s="217"/>
      <c r="G32" s="217"/>
    </row>
    <row r="33" spans="1:12" ht="30" x14ac:dyDescent="0.25">
      <c r="A33" s="11">
        <v>3</v>
      </c>
      <c r="B33" s="22" t="s">
        <v>95</v>
      </c>
      <c r="C33" s="172"/>
      <c r="D33" s="172"/>
      <c r="E33" s="172"/>
      <c r="F33" s="219"/>
      <c r="G33" s="219"/>
    </row>
    <row r="34" spans="1:12" ht="30" x14ac:dyDescent="0.25">
      <c r="A34" s="12">
        <v>4</v>
      </c>
      <c r="B34" s="23" t="s">
        <v>96</v>
      </c>
      <c r="C34" s="173"/>
      <c r="D34" s="173"/>
      <c r="E34" s="173"/>
      <c r="F34" s="217"/>
      <c r="G34" s="217"/>
    </row>
    <row r="35" spans="1:12" ht="30" x14ac:dyDescent="0.25">
      <c r="A35" s="11">
        <v>5</v>
      </c>
      <c r="B35" s="21" t="s">
        <v>156</v>
      </c>
      <c r="C35" s="50">
        <f>SUM(C33:C34)</f>
        <v>0</v>
      </c>
      <c r="D35" s="50">
        <f>SUM(D33:D34)</f>
        <v>0</v>
      </c>
      <c r="E35" s="50">
        <f>SUM(E33:E34)</f>
        <v>0</v>
      </c>
      <c r="F35" s="219" t="s">
        <v>98</v>
      </c>
      <c r="G35" s="219"/>
      <c r="L35" t="s">
        <v>94</v>
      </c>
    </row>
    <row r="36" spans="1:12" x14ac:dyDescent="0.25">
      <c r="A36" s="12">
        <v>6</v>
      </c>
      <c r="B36" s="23" t="s">
        <v>99</v>
      </c>
      <c r="C36" s="50">
        <f>IFERROR(ROUND((C35/C32),2),0)</f>
        <v>0</v>
      </c>
      <c r="D36" s="50">
        <f>IFERROR(ROUND((D35/D32),2),0)</f>
        <v>0</v>
      </c>
      <c r="E36" s="50">
        <f>IFERROR(ROUND((E35/E32),2),0)</f>
        <v>0</v>
      </c>
      <c r="F36" s="224" t="s">
        <v>100</v>
      </c>
      <c r="G36" s="224"/>
    </row>
    <row r="37" spans="1:12" ht="21" x14ac:dyDescent="0.35">
      <c r="A37" s="200" t="s">
        <v>157</v>
      </c>
      <c r="B37" s="200"/>
      <c r="C37" s="200"/>
      <c r="D37" s="200"/>
      <c r="E37" s="200"/>
      <c r="F37" s="200"/>
      <c r="G37" s="200"/>
    </row>
    <row r="38" spans="1:12" ht="15" customHeight="1" x14ac:dyDescent="0.25">
      <c r="A38" s="227" t="s">
        <v>158</v>
      </c>
      <c r="B38" s="27" t="s">
        <v>159</v>
      </c>
      <c r="C38" s="27" t="s">
        <v>160</v>
      </c>
      <c r="D38" s="27" t="s">
        <v>161</v>
      </c>
      <c r="E38" s="27" t="s">
        <v>162</v>
      </c>
      <c r="F38" s="29" t="s">
        <v>163</v>
      </c>
      <c r="G38" s="208" t="s">
        <v>83</v>
      </c>
    </row>
    <row r="39" spans="1:12" ht="15" customHeight="1" x14ac:dyDescent="0.25">
      <c r="A39" s="227"/>
      <c r="B39" s="27" t="s">
        <v>164</v>
      </c>
      <c r="C39" s="27" t="s">
        <v>165</v>
      </c>
      <c r="D39" s="29" t="s">
        <v>109</v>
      </c>
      <c r="E39" s="27" t="s">
        <v>166</v>
      </c>
      <c r="F39" s="29" t="s">
        <v>167</v>
      </c>
      <c r="G39" s="208"/>
    </row>
    <row r="40" spans="1:12" ht="15" customHeight="1" x14ac:dyDescent="0.25">
      <c r="A40" s="24" t="s">
        <v>113</v>
      </c>
      <c r="B40" s="118">
        <f>F5</f>
        <v>0</v>
      </c>
      <c r="C40" s="49">
        <f>C36</f>
        <v>0</v>
      </c>
      <c r="D40" s="49">
        <f>B40*C40</f>
        <v>0</v>
      </c>
      <c r="E40" s="243">
        <f>IF((SUM(D40:D42)=0),0,110)</f>
        <v>0</v>
      </c>
      <c r="F40" s="244">
        <f>86*F8</f>
        <v>0</v>
      </c>
      <c r="G40" s="35" t="s">
        <v>168</v>
      </c>
    </row>
    <row r="41" spans="1:12" ht="30" x14ac:dyDescent="0.25">
      <c r="A41" s="15" t="s">
        <v>114</v>
      </c>
      <c r="B41" s="112">
        <f>ROUND((((4.25*F8)+F11)),0)</f>
        <v>0</v>
      </c>
      <c r="C41" s="49">
        <f>D36</f>
        <v>0</v>
      </c>
      <c r="D41" s="49">
        <f>D36</f>
        <v>0</v>
      </c>
      <c r="E41" s="243"/>
      <c r="F41" s="244"/>
      <c r="G41" s="36" t="s">
        <v>479</v>
      </c>
    </row>
    <row r="42" spans="1:12" x14ac:dyDescent="0.25">
      <c r="A42" s="8" t="s">
        <v>115</v>
      </c>
      <c r="B42" s="112">
        <f>ROUND((((5*F8)+F11)),0)</f>
        <v>0</v>
      </c>
      <c r="C42" s="49">
        <f>E36</f>
        <v>0</v>
      </c>
      <c r="D42" s="49">
        <f>E36</f>
        <v>0</v>
      </c>
      <c r="E42" s="243"/>
      <c r="F42" s="244"/>
      <c r="G42" s="140" t="s">
        <v>480</v>
      </c>
    </row>
    <row r="43" spans="1:12" ht="21" x14ac:dyDescent="0.35">
      <c r="A43" s="200" t="s">
        <v>169</v>
      </c>
      <c r="B43" s="200"/>
      <c r="C43" s="200"/>
      <c r="D43" s="200"/>
      <c r="E43" s="200"/>
      <c r="F43" s="200"/>
      <c r="G43" s="200"/>
    </row>
    <row r="44" spans="1:12" ht="15" customHeight="1" x14ac:dyDescent="0.25">
      <c r="A44" s="1" t="s">
        <v>102</v>
      </c>
      <c r="B44" s="27" t="s">
        <v>170</v>
      </c>
      <c r="C44" s="27" t="s">
        <v>160</v>
      </c>
      <c r="D44" s="27" t="s">
        <v>171</v>
      </c>
      <c r="E44" s="208" t="s">
        <v>172</v>
      </c>
      <c r="F44" s="208"/>
      <c r="G44" s="208" t="s">
        <v>83</v>
      </c>
    </row>
    <row r="45" spans="1:12" x14ac:dyDescent="0.25">
      <c r="A45" s="1" t="s">
        <v>107</v>
      </c>
      <c r="B45" s="27" t="s">
        <v>173</v>
      </c>
      <c r="C45" s="27" t="s">
        <v>174</v>
      </c>
      <c r="D45" s="29" t="s">
        <v>175</v>
      </c>
      <c r="E45" s="208" t="s">
        <v>176</v>
      </c>
      <c r="F45" s="208"/>
      <c r="G45" s="208"/>
    </row>
    <row r="46" spans="1:12" x14ac:dyDescent="0.25">
      <c r="A46" s="24" t="s">
        <v>113</v>
      </c>
      <c r="B46" s="178"/>
      <c r="C46" s="43">
        <f>C36</f>
        <v>0</v>
      </c>
      <c r="D46" s="43">
        <f>ROUNDUP((B46*C46),0)</f>
        <v>0</v>
      </c>
      <c r="E46" s="242"/>
      <c r="F46" s="242"/>
      <c r="G46" s="84" t="s">
        <v>177</v>
      </c>
    </row>
    <row r="47" spans="1:12" ht="21" x14ac:dyDescent="0.35">
      <c r="A47" s="200" t="s">
        <v>178</v>
      </c>
      <c r="B47" s="200"/>
      <c r="C47" s="200"/>
      <c r="D47" s="200"/>
      <c r="E47" s="200"/>
      <c r="F47" s="200"/>
      <c r="G47" s="200"/>
    </row>
    <row r="48" spans="1:12" x14ac:dyDescent="0.25">
      <c r="A48" s="241" t="s">
        <v>179</v>
      </c>
      <c r="B48" s="241"/>
      <c r="C48" s="241"/>
      <c r="D48" s="241"/>
      <c r="E48" s="241"/>
      <c r="F48" s="241"/>
      <c r="G48" s="60">
        <f>ROUND((SUM(D40:D42)),2)+E40+F40</f>
        <v>0</v>
      </c>
    </row>
    <row r="49" spans="1:14" ht="15.75" thickBot="1" x14ac:dyDescent="0.3">
      <c r="A49" s="241" t="s">
        <v>180</v>
      </c>
      <c r="B49" s="241"/>
      <c r="C49" s="241"/>
      <c r="D49" s="241"/>
      <c r="E49" s="241"/>
      <c r="F49" s="241"/>
      <c r="G49" s="60">
        <f>ROUND((D46+E46),0)</f>
        <v>0</v>
      </c>
    </row>
    <row r="50" spans="1:14" ht="19.5" thickBot="1" x14ac:dyDescent="0.35">
      <c r="A50" s="220" t="s">
        <v>181</v>
      </c>
      <c r="B50" s="220"/>
      <c r="C50" s="220"/>
      <c r="D50" s="220"/>
      <c r="E50" s="220"/>
      <c r="F50" s="220"/>
      <c r="G50" s="37">
        <f>ROUNDUP((SUM(G48:G49)),0)</f>
        <v>0</v>
      </c>
    </row>
    <row r="51" spans="1:14" ht="21" x14ac:dyDescent="0.35">
      <c r="A51" s="200" t="s">
        <v>57</v>
      </c>
      <c r="B51" s="200"/>
      <c r="C51" s="200"/>
      <c r="D51" s="200"/>
      <c r="E51" s="200"/>
      <c r="F51" s="200"/>
      <c r="G51" s="200"/>
    </row>
    <row r="52" spans="1:14" ht="15" customHeight="1" x14ac:dyDescent="0.25">
      <c r="A52" s="207" t="s">
        <v>182</v>
      </c>
      <c r="B52" s="207"/>
      <c r="C52" s="207"/>
      <c r="D52" s="207"/>
      <c r="E52" s="207"/>
      <c r="F52" s="207"/>
      <c r="G52" s="207"/>
    </row>
    <row r="53" spans="1:14" x14ac:dyDescent="0.25">
      <c r="A53" s="213"/>
      <c r="B53" s="213"/>
      <c r="C53" s="213"/>
      <c r="D53" s="213"/>
      <c r="E53" s="213"/>
      <c r="F53" s="213"/>
      <c r="G53" s="213"/>
      <c r="H53" s="70"/>
      <c r="I53" s="70"/>
      <c r="J53" s="70"/>
      <c r="K53" s="70"/>
      <c r="L53" s="70"/>
      <c r="M53" s="70"/>
      <c r="N53" s="70"/>
    </row>
    <row r="54" spans="1:14" x14ac:dyDescent="0.25">
      <c r="A54" s="213"/>
      <c r="B54" s="213"/>
      <c r="C54" s="213"/>
      <c r="D54" s="213"/>
      <c r="E54" s="213"/>
      <c r="F54" s="213"/>
      <c r="G54" s="213"/>
      <c r="H54" s="70"/>
      <c r="I54" s="70"/>
      <c r="J54" s="70"/>
      <c r="K54" s="70"/>
      <c r="L54" s="70"/>
      <c r="M54" s="70"/>
      <c r="N54" s="70"/>
    </row>
    <row r="55" spans="1:14" x14ac:dyDescent="0.25">
      <c r="A55" s="213"/>
      <c r="B55" s="213"/>
      <c r="C55" s="213"/>
      <c r="D55" s="213"/>
      <c r="E55" s="213"/>
      <c r="F55" s="213"/>
      <c r="G55" s="213"/>
    </row>
  </sheetData>
  <sheetProtection algorithmName="SHA-512" hashValue="QmTchudnMQyhWTWu6kl/5x/sj97isbKZrEFKLvVNtGi/sWcdVsoE6utfdeqsF8JwrSymreJf2vBHvUnMduWg/A==" saltValue="UOEAHdQd31scSdmvXhpLHQ==" spinCount="100000" sheet="1" objects="1" scenarios="1" formatCells="0" formatColumns="0" formatRows="0" insertColumns="0" insertRows="0" insertHyperlinks="0" deleteColumns="0" deleteRows="0"/>
  <mergeCells count="43">
    <mergeCell ref="A37:G37"/>
    <mergeCell ref="E40:E42"/>
    <mergeCell ref="A38:A39"/>
    <mergeCell ref="A1:G1"/>
    <mergeCell ref="A29:G29"/>
    <mergeCell ref="F30:G30"/>
    <mergeCell ref="F31:G31"/>
    <mergeCell ref="F32:G32"/>
    <mergeCell ref="A2:G2"/>
    <mergeCell ref="A3:A4"/>
    <mergeCell ref="F33:G33"/>
    <mergeCell ref="F34:G34"/>
    <mergeCell ref="F35:G35"/>
    <mergeCell ref="F36:G36"/>
    <mergeCell ref="G38:G39"/>
    <mergeCell ref="F40:F42"/>
    <mergeCell ref="A52:G52"/>
    <mergeCell ref="A53:G55"/>
    <mergeCell ref="A49:F49"/>
    <mergeCell ref="A43:G43"/>
    <mergeCell ref="A50:F50"/>
    <mergeCell ref="A47:G47"/>
    <mergeCell ref="A48:F48"/>
    <mergeCell ref="E44:F44"/>
    <mergeCell ref="E45:F45"/>
    <mergeCell ref="E46:F46"/>
    <mergeCell ref="G44:G45"/>
    <mergeCell ref="A51:G51"/>
    <mergeCell ref="F3:G3"/>
    <mergeCell ref="F4:G4"/>
    <mergeCell ref="F18:G28"/>
    <mergeCell ref="F15:G15"/>
    <mergeCell ref="F16:G16"/>
    <mergeCell ref="F17:G17"/>
    <mergeCell ref="F9:G9"/>
    <mergeCell ref="F10:G10"/>
    <mergeCell ref="F11:G12"/>
    <mergeCell ref="F13:G13"/>
    <mergeCell ref="F14:G14"/>
    <mergeCell ref="F5:G5"/>
    <mergeCell ref="F6:G6"/>
    <mergeCell ref="F7:G7"/>
    <mergeCell ref="F8:G8"/>
  </mergeCells>
  <dataValidations count="2">
    <dataValidation type="list" allowBlank="1" showInputMessage="1" showErrorMessage="1" promptTitle="Was a Scoring Center Used" prompt="Select Yes or No" sqref="F15" xr:uid="{B3CBDC4E-FEBD-4E28-8D34-5456C4886F58}">
      <formula1>"Yes,No"</formula1>
    </dataValidation>
    <dataValidation type="list" showInputMessage="1" showErrorMessage="1" sqref="F8" xr:uid="{2124FE7F-EE37-44C4-A232-8DD0DB71E98E}">
      <formula1>"0,1,2,3,4,5,6"</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11D985-52DC-48BB-9BA5-7B8D5F6456EF}">
  <dimension ref="A1:L22"/>
  <sheetViews>
    <sheetView topLeftCell="B1" zoomScaleNormal="100" workbookViewId="0">
      <selection activeCell="A18" sqref="A18:G18"/>
    </sheetView>
  </sheetViews>
  <sheetFormatPr defaultRowHeight="15" x14ac:dyDescent="0.25"/>
  <cols>
    <col min="1" max="1" width="18.140625" customWidth="1"/>
    <col min="2" max="2" width="42.5703125" customWidth="1"/>
    <col min="3" max="3" width="28.7109375" bestFit="1" customWidth="1"/>
    <col min="4" max="4" width="29.85546875" bestFit="1" customWidth="1"/>
    <col min="5" max="5" width="40.5703125" bestFit="1" customWidth="1"/>
    <col min="6" max="6" width="29.28515625" customWidth="1"/>
    <col min="7" max="7" width="27.28515625" customWidth="1"/>
  </cols>
  <sheetData>
    <row r="1" spans="1:12" ht="30" customHeight="1" x14ac:dyDescent="0.45">
      <c r="A1" s="202" t="s">
        <v>183</v>
      </c>
      <c r="B1" s="202"/>
      <c r="C1" s="202"/>
      <c r="D1" s="202"/>
      <c r="E1" s="202"/>
      <c r="F1" s="202"/>
      <c r="G1" s="202"/>
    </row>
    <row r="2" spans="1:12" ht="21" x14ac:dyDescent="0.35">
      <c r="A2" s="200" t="s">
        <v>89</v>
      </c>
      <c r="B2" s="200"/>
      <c r="C2" s="200"/>
      <c r="D2" s="200"/>
      <c r="E2" s="200"/>
      <c r="F2" s="200"/>
      <c r="G2" s="200"/>
    </row>
    <row r="3" spans="1:12" x14ac:dyDescent="0.25">
      <c r="A3" s="6" t="s">
        <v>90</v>
      </c>
      <c r="B3" s="7"/>
      <c r="C3" s="1" t="s">
        <v>154</v>
      </c>
      <c r="D3" s="1" t="s">
        <v>81</v>
      </c>
      <c r="E3" s="1" t="s">
        <v>82</v>
      </c>
      <c r="F3" s="225" t="s">
        <v>83</v>
      </c>
      <c r="G3" s="225"/>
    </row>
    <row r="4" spans="1:12" ht="30" x14ac:dyDescent="0.25">
      <c r="A4" s="11">
        <v>1</v>
      </c>
      <c r="B4" s="22" t="s">
        <v>184</v>
      </c>
      <c r="C4" s="170"/>
      <c r="D4" s="170"/>
      <c r="E4" s="170"/>
      <c r="F4" s="248"/>
      <c r="G4" s="248"/>
    </row>
    <row r="5" spans="1:12" ht="30" x14ac:dyDescent="0.25">
      <c r="A5" s="12">
        <v>2</v>
      </c>
      <c r="B5" s="23" t="s">
        <v>93</v>
      </c>
      <c r="C5" s="170"/>
      <c r="D5" s="170"/>
      <c r="E5" s="170"/>
      <c r="F5" s="217"/>
      <c r="G5" s="217"/>
    </row>
    <row r="6" spans="1:12" ht="30" x14ac:dyDescent="0.25">
      <c r="A6" s="11">
        <v>3</v>
      </c>
      <c r="B6" s="22" t="s">
        <v>95</v>
      </c>
      <c r="C6" s="172"/>
      <c r="D6" s="172"/>
      <c r="E6" s="172"/>
      <c r="F6" s="219"/>
      <c r="G6" s="219"/>
    </row>
    <row r="7" spans="1:12" ht="30" x14ac:dyDescent="0.25">
      <c r="A7" s="12">
        <v>4</v>
      </c>
      <c r="B7" s="23" t="s">
        <v>96</v>
      </c>
      <c r="C7" s="173"/>
      <c r="D7" s="173"/>
      <c r="E7" s="173"/>
      <c r="F7" s="217"/>
      <c r="G7" s="217"/>
    </row>
    <row r="8" spans="1:12" ht="30" x14ac:dyDescent="0.25">
      <c r="A8" s="11">
        <v>5</v>
      </c>
      <c r="B8" s="21" t="s">
        <v>156</v>
      </c>
      <c r="C8" s="50">
        <f>SUM(C6:C7)</f>
        <v>0</v>
      </c>
      <c r="D8" s="50">
        <f>SUM(D6:D7)</f>
        <v>0</v>
      </c>
      <c r="E8" s="50">
        <f>SUM(E6:E7)</f>
        <v>0</v>
      </c>
      <c r="F8" s="219" t="s">
        <v>98</v>
      </c>
      <c r="G8" s="219"/>
      <c r="L8" t="s">
        <v>94</v>
      </c>
    </row>
    <row r="9" spans="1:12" x14ac:dyDescent="0.25">
      <c r="A9" s="12">
        <v>6</v>
      </c>
      <c r="B9" s="23" t="s">
        <v>99</v>
      </c>
      <c r="C9" s="50">
        <f>IFERROR(ROUND((C8/C5),2),0)</f>
        <v>0</v>
      </c>
      <c r="D9" s="50">
        <f>IFERROR(ROUND((D8/D5),2),0)</f>
        <v>0</v>
      </c>
      <c r="E9" s="50">
        <f>IFERROR(ROUND((E8/E5),2),0)</f>
        <v>0</v>
      </c>
      <c r="F9" s="224" t="s">
        <v>428</v>
      </c>
      <c r="G9" s="224"/>
    </row>
    <row r="10" spans="1:12" ht="21" x14ac:dyDescent="0.35">
      <c r="A10" s="253" t="s">
        <v>157</v>
      </c>
      <c r="B10" s="253"/>
      <c r="C10" s="253"/>
      <c r="D10" s="253"/>
      <c r="E10" s="253"/>
      <c r="F10" s="253"/>
      <c r="G10" s="253"/>
    </row>
    <row r="11" spans="1:12" x14ac:dyDescent="0.25">
      <c r="A11" s="29" t="s">
        <v>102</v>
      </c>
      <c r="B11" s="27" t="s">
        <v>409</v>
      </c>
      <c r="C11" s="27" t="s">
        <v>185</v>
      </c>
      <c r="D11" s="27" t="s">
        <v>89</v>
      </c>
      <c r="E11" s="29" t="s">
        <v>186</v>
      </c>
      <c r="F11" s="208" t="s">
        <v>83</v>
      </c>
      <c r="G11" s="208"/>
    </row>
    <row r="12" spans="1:12" ht="15" customHeight="1" x14ac:dyDescent="0.25">
      <c r="A12" s="1" t="s">
        <v>107</v>
      </c>
      <c r="B12" s="133" t="s">
        <v>410</v>
      </c>
      <c r="C12" s="27" t="s">
        <v>164</v>
      </c>
      <c r="D12" s="29" t="s">
        <v>411</v>
      </c>
      <c r="E12" s="29" t="s">
        <v>187</v>
      </c>
      <c r="F12" s="208"/>
      <c r="G12" s="208"/>
    </row>
    <row r="13" spans="1:12" x14ac:dyDescent="0.25">
      <c r="A13" s="24" t="s">
        <v>113</v>
      </c>
      <c r="B13" s="118">
        <f>C4</f>
        <v>0</v>
      </c>
      <c r="C13" s="119">
        <f>1*B13</f>
        <v>0</v>
      </c>
      <c r="D13" s="43">
        <f>C9</f>
        <v>0</v>
      </c>
      <c r="E13" s="43">
        <f>ROUNDUP((C13*D13),0)</f>
        <v>0</v>
      </c>
      <c r="F13" s="247" t="s">
        <v>188</v>
      </c>
      <c r="G13" s="248"/>
    </row>
    <row r="14" spans="1:12" x14ac:dyDescent="0.25">
      <c r="A14" s="15" t="s">
        <v>114</v>
      </c>
      <c r="B14" s="251" t="s">
        <v>189</v>
      </c>
      <c r="C14" s="162">
        <v>4</v>
      </c>
      <c r="D14" s="43">
        <f>D9</f>
        <v>0</v>
      </c>
      <c r="E14" s="43">
        <f>ROUNDUP((C14*D14),0)</f>
        <v>0</v>
      </c>
      <c r="F14" s="249" t="s">
        <v>190</v>
      </c>
      <c r="G14" s="250"/>
    </row>
    <row r="15" spans="1:12" x14ac:dyDescent="0.25">
      <c r="A15" s="8" t="s">
        <v>115</v>
      </c>
      <c r="B15" s="252"/>
      <c r="C15" s="162">
        <v>4</v>
      </c>
      <c r="D15" s="43">
        <f>E9</f>
        <v>0</v>
      </c>
      <c r="E15" s="43">
        <f>ROUNDUP((C15*D15),0)</f>
        <v>0</v>
      </c>
      <c r="F15" s="247" t="s">
        <v>190</v>
      </c>
      <c r="G15" s="248"/>
    </row>
    <row r="16" spans="1:12" ht="21" x14ac:dyDescent="0.35">
      <c r="A16" s="200" t="s">
        <v>191</v>
      </c>
      <c r="B16" s="200"/>
      <c r="C16" s="200"/>
      <c r="D16" s="200"/>
      <c r="E16" s="200"/>
      <c r="F16" s="200"/>
      <c r="G16" s="200"/>
    </row>
    <row r="17" spans="1:7" ht="15" customHeight="1" x14ac:dyDescent="0.3">
      <c r="A17" s="220" t="s">
        <v>192</v>
      </c>
      <c r="B17" s="220"/>
      <c r="C17" s="220"/>
      <c r="D17" s="220"/>
      <c r="E17" s="221"/>
      <c r="F17" s="245">
        <f>ROUNDUP((SUM(E13:E15)),0)</f>
        <v>0</v>
      </c>
      <c r="G17" s="246"/>
    </row>
    <row r="18" spans="1:7" ht="21" x14ac:dyDescent="0.35">
      <c r="A18" s="200" t="s">
        <v>57</v>
      </c>
      <c r="B18" s="200"/>
      <c r="C18" s="200"/>
      <c r="D18" s="200"/>
      <c r="E18" s="200"/>
      <c r="F18" s="200"/>
      <c r="G18" s="200"/>
    </row>
    <row r="19" spans="1:7" x14ac:dyDescent="0.25">
      <c r="A19" s="207" t="s">
        <v>470</v>
      </c>
      <c r="B19" s="207"/>
      <c r="C19" s="207"/>
      <c r="D19" s="207"/>
      <c r="E19" s="207"/>
      <c r="F19" s="207"/>
      <c r="G19" s="207"/>
    </row>
    <row r="20" spans="1:7" x14ac:dyDescent="0.25">
      <c r="A20" s="213"/>
      <c r="B20" s="213"/>
      <c r="C20" s="213"/>
      <c r="D20" s="213"/>
      <c r="E20" s="213"/>
      <c r="F20" s="213"/>
      <c r="G20" s="213"/>
    </row>
    <row r="21" spans="1:7" x14ac:dyDescent="0.25">
      <c r="A21" s="213"/>
      <c r="B21" s="213"/>
      <c r="C21" s="213"/>
      <c r="D21" s="213"/>
      <c r="E21" s="213"/>
      <c r="F21" s="213"/>
      <c r="G21" s="213"/>
    </row>
    <row r="22" spans="1:7" x14ac:dyDescent="0.25">
      <c r="A22" s="213"/>
      <c r="B22" s="213"/>
      <c r="C22" s="213"/>
      <c r="D22" s="213"/>
      <c r="E22" s="213"/>
      <c r="F22" s="213"/>
      <c r="G22" s="213"/>
    </row>
  </sheetData>
  <sheetProtection algorithmName="SHA-512" hashValue="gIvAhJPsxBrgp3XH9wYTdSs7n+ix6DJu9LO3QJMgvjawWW4pOb/VURgiw5N/JcKG5WZ0JiZvSSaBEprO8Tir8g==" saltValue="GR0xnszy7S09lu2DLfm/XA==" spinCount="100000" sheet="1" objects="1" scenarios="1" formatCells="0" formatColumns="0" formatRows="0" insertColumns="0" insertRows="0" insertHyperlinks="0" deleteColumns="0" deleteRows="0"/>
  <mergeCells count="21">
    <mergeCell ref="A1:G1"/>
    <mergeCell ref="F13:G13"/>
    <mergeCell ref="F14:G14"/>
    <mergeCell ref="F15:G15"/>
    <mergeCell ref="A16:G16"/>
    <mergeCell ref="A2:G2"/>
    <mergeCell ref="F3:G3"/>
    <mergeCell ref="F4:G4"/>
    <mergeCell ref="F5:G5"/>
    <mergeCell ref="F6:G6"/>
    <mergeCell ref="B14:B15"/>
    <mergeCell ref="F7:G7"/>
    <mergeCell ref="F8:G8"/>
    <mergeCell ref="F9:G9"/>
    <mergeCell ref="A10:G10"/>
    <mergeCell ref="F11:G12"/>
    <mergeCell ref="A18:G18"/>
    <mergeCell ref="A19:G19"/>
    <mergeCell ref="A20:G22"/>
    <mergeCell ref="F17:G17"/>
    <mergeCell ref="A17:E17"/>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2CA78A-9232-4832-82C1-7854DD72E0A9}">
  <dimension ref="A1:G54"/>
  <sheetViews>
    <sheetView topLeftCell="A19" zoomScaleNormal="100" workbookViewId="0">
      <selection activeCell="C13" sqref="C13:C14"/>
    </sheetView>
  </sheetViews>
  <sheetFormatPr defaultRowHeight="15" x14ac:dyDescent="0.25"/>
  <cols>
    <col min="1" max="1" width="17.85546875" bestFit="1" customWidth="1"/>
    <col min="2" max="2" width="57.7109375" customWidth="1"/>
    <col min="3" max="3" width="36.5703125" bestFit="1" customWidth="1"/>
    <col min="4" max="4" width="21.85546875" bestFit="1" customWidth="1"/>
    <col min="5" max="5" width="45.85546875" bestFit="1" customWidth="1"/>
    <col min="6" max="6" width="50.85546875" bestFit="1" customWidth="1"/>
  </cols>
  <sheetData>
    <row r="1" spans="1:7" ht="30" customHeight="1" x14ac:dyDescent="0.45">
      <c r="A1" s="202" t="s">
        <v>193</v>
      </c>
      <c r="B1" s="202"/>
      <c r="C1" s="202"/>
      <c r="D1" s="202"/>
      <c r="E1" s="202"/>
      <c r="F1" s="202"/>
    </row>
    <row r="2" spans="1:7" ht="20.25" customHeight="1" x14ac:dyDescent="0.35">
      <c r="A2" s="200" t="s">
        <v>194</v>
      </c>
      <c r="B2" s="200"/>
      <c r="C2" s="200"/>
      <c r="D2" s="200"/>
      <c r="E2" s="200"/>
      <c r="F2" s="200"/>
    </row>
    <row r="3" spans="1:7" x14ac:dyDescent="0.25">
      <c r="A3" s="208" t="s">
        <v>119</v>
      </c>
      <c r="B3" s="208"/>
      <c r="C3" s="130" t="s">
        <v>120</v>
      </c>
      <c r="D3" s="29" t="s">
        <v>121</v>
      </c>
      <c r="E3" s="29" t="s">
        <v>122</v>
      </c>
      <c r="F3" s="227" t="s">
        <v>195</v>
      </c>
    </row>
    <row r="4" spans="1:7" x14ac:dyDescent="0.25">
      <c r="A4" s="208"/>
      <c r="B4" s="208"/>
      <c r="C4" s="155" t="s">
        <v>429</v>
      </c>
      <c r="D4" s="29" t="s">
        <v>124</v>
      </c>
      <c r="E4" s="29" t="s">
        <v>125</v>
      </c>
      <c r="F4" s="208"/>
    </row>
    <row r="5" spans="1:7" x14ac:dyDescent="0.25">
      <c r="A5" s="263" t="s">
        <v>196</v>
      </c>
      <c r="B5" s="264"/>
      <c r="C5" s="273"/>
      <c r="D5" s="89">
        <v>1.08</v>
      </c>
      <c r="E5" s="274"/>
      <c r="F5" s="258">
        <f>C5*(D5+E5)</f>
        <v>0</v>
      </c>
    </row>
    <row r="6" spans="1:7" x14ac:dyDescent="0.25">
      <c r="A6" s="263" t="s">
        <v>197</v>
      </c>
      <c r="B6" s="264"/>
      <c r="C6" s="265"/>
      <c r="D6" s="89">
        <v>1.1299999999999999</v>
      </c>
      <c r="E6" s="267"/>
      <c r="F6" s="259"/>
    </row>
    <row r="7" spans="1:7" x14ac:dyDescent="0.25">
      <c r="A7" s="261" t="s">
        <v>398</v>
      </c>
      <c r="B7" s="262"/>
      <c r="C7" s="254"/>
      <c r="D7" s="90">
        <v>2.36</v>
      </c>
      <c r="E7" s="256"/>
      <c r="F7" s="258">
        <f>C7*(D7+E7)</f>
        <v>0</v>
      </c>
    </row>
    <row r="8" spans="1:7" x14ac:dyDescent="0.25">
      <c r="A8" s="136" t="s">
        <v>399</v>
      </c>
      <c r="B8" s="137"/>
      <c r="C8" s="255"/>
      <c r="D8" s="91">
        <v>2.41</v>
      </c>
      <c r="E8" s="257"/>
      <c r="F8" s="259"/>
    </row>
    <row r="9" spans="1:7" x14ac:dyDescent="0.25">
      <c r="A9" s="263" t="s">
        <v>400</v>
      </c>
      <c r="B9" s="264"/>
      <c r="C9" s="265"/>
      <c r="D9" s="90">
        <v>2.36</v>
      </c>
      <c r="E9" s="267"/>
      <c r="F9" s="259">
        <f>C9*(D9+E9)</f>
        <v>0</v>
      </c>
    </row>
    <row r="10" spans="1:7" x14ac:dyDescent="0.25">
      <c r="A10" s="263" t="s">
        <v>401</v>
      </c>
      <c r="B10" s="264"/>
      <c r="C10" s="265"/>
      <c r="D10" s="91">
        <v>2.41</v>
      </c>
      <c r="E10" s="267"/>
      <c r="F10" s="259"/>
    </row>
    <row r="11" spans="1:7" x14ac:dyDescent="0.25">
      <c r="A11" s="261" t="s">
        <v>198</v>
      </c>
      <c r="B11" s="262"/>
      <c r="C11" s="265"/>
      <c r="D11" s="90">
        <v>2.36</v>
      </c>
      <c r="E11" s="267"/>
      <c r="F11" s="259">
        <f>C11*(D11+E11)</f>
        <v>0</v>
      </c>
    </row>
    <row r="12" spans="1:7" x14ac:dyDescent="0.25">
      <c r="A12" s="261" t="s">
        <v>199</v>
      </c>
      <c r="B12" s="262"/>
      <c r="C12" s="265"/>
      <c r="D12" s="89">
        <v>2.41</v>
      </c>
      <c r="E12" s="267"/>
      <c r="F12" s="259"/>
    </row>
    <row r="13" spans="1:7" x14ac:dyDescent="0.25">
      <c r="A13" s="263" t="s">
        <v>200</v>
      </c>
      <c r="B13" s="264"/>
      <c r="C13" s="265"/>
      <c r="D13" s="90">
        <v>2.36</v>
      </c>
      <c r="E13" s="267"/>
      <c r="F13" s="259">
        <f>C13*(D13+E13)</f>
        <v>0</v>
      </c>
    </row>
    <row r="14" spans="1:7" x14ac:dyDescent="0.25">
      <c r="A14" s="263" t="s">
        <v>201</v>
      </c>
      <c r="B14" s="264"/>
      <c r="C14" s="265"/>
      <c r="D14" s="91">
        <v>2.41</v>
      </c>
      <c r="E14" s="267"/>
      <c r="F14" s="259"/>
    </row>
    <row r="15" spans="1:7" x14ac:dyDescent="0.25">
      <c r="A15" s="261" t="s">
        <v>202</v>
      </c>
      <c r="B15" s="262"/>
      <c r="C15" s="265"/>
      <c r="D15" s="90">
        <v>0.81</v>
      </c>
      <c r="E15" s="267"/>
      <c r="F15" s="259">
        <f>C15*(D15+E15)</f>
        <v>0</v>
      </c>
      <c r="G15" t="s">
        <v>94</v>
      </c>
    </row>
    <row r="16" spans="1:7" x14ac:dyDescent="0.25">
      <c r="A16" s="261" t="s">
        <v>203</v>
      </c>
      <c r="B16" s="262"/>
      <c r="C16" s="265"/>
      <c r="D16" s="91">
        <v>0.86</v>
      </c>
      <c r="E16" s="267"/>
      <c r="F16" s="259"/>
      <c r="G16" t="s">
        <v>94</v>
      </c>
    </row>
    <row r="17" spans="1:6" x14ac:dyDescent="0.25">
      <c r="A17" s="263" t="s">
        <v>402</v>
      </c>
      <c r="B17" s="264"/>
      <c r="C17" s="265"/>
      <c r="D17" s="90">
        <v>0.81</v>
      </c>
      <c r="E17" s="267"/>
      <c r="F17" s="259">
        <f>C17*(D17+E17)</f>
        <v>0</v>
      </c>
    </row>
    <row r="18" spans="1:6" x14ac:dyDescent="0.25">
      <c r="A18" s="263" t="s">
        <v>403</v>
      </c>
      <c r="B18" s="264"/>
      <c r="C18" s="265"/>
      <c r="D18" s="91">
        <v>0.86</v>
      </c>
      <c r="E18" s="267"/>
      <c r="F18" s="259"/>
    </row>
    <row r="19" spans="1:6" x14ac:dyDescent="0.25">
      <c r="A19" s="261" t="s">
        <v>204</v>
      </c>
      <c r="B19" s="262"/>
      <c r="C19" s="265"/>
      <c r="D19" s="90">
        <v>0.48</v>
      </c>
      <c r="E19" s="267"/>
      <c r="F19" s="259">
        <f>C19*(D19+E19)</f>
        <v>0</v>
      </c>
    </row>
    <row r="20" spans="1:6" x14ac:dyDescent="0.25">
      <c r="A20" s="261" t="s">
        <v>205</v>
      </c>
      <c r="B20" s="262"/>
      <c r="C20" s="265"/>
      <c r="D20" s="91">
        <v>0.53</v>
      </c>
      <c r="E20" s="267"/>
      <c r="F20" s="259"/>
    </row>
    <row r="21" spans="1:6" x14ac:dyDescent="0.25">
      <c r="A21" s="263" t="s">
        <v>206</v>
      </c>
      <c r="B21" s="264"/>
      <c r="C21" s="265"/>
      <c r="D21" s="90">
        <v>0.48</v>
      </c>
      <c r="E21" s="267"/>
      <c r="F21" s="259">
        <f>C21*(D21+E21)</f>
        <v>0</v>
      </c>
    </row>
    <row r="22" spans="1:6" x14ac:dyDescent="0.25">
      <c r="A22" s="263" t="s">
        <v>207</v>
      </c>
      <c r="B22" s="264"/>
      <c r="C22" s="265"/>
      <c r="D22" s="91">
        <v>0.53</v>
      </c>
      <c r="E22" s="267"/>
      <c r="F22" s="259"/>
    </row>
    <row r="23" spans="1:6" x14ac:dyDescent="0.25">
      <c r="A23" s="261" t="s">
        <v>208</v>
      </c>
      <c r="B23" s="262"/>
      <c r="C23" s="265"/>
      <c r="D23" s="90">
        <v>0.65</v>
      </c>
      <c r="E23" s="267"/>
      <c r="F23" s="259">
        <f>C23*(D23+E23)</f>
        <v>0</v>
      </c>
    </row>
    <row r="24" spans="1:6" x14ac:dyDescent="0.25">
      <c r="A24" s="261" t="s">
        <v>209</v>
      </c>
      <c r="B24" s="262"/>
      <c r="C24" s="266"/>
      <c r="D24" s="91">
        <v>0.7</v>
      </c>
      <c r="E24" s="267"/>
      <c r="F24" s="259"/>
    </row>
    <row r="25" spans="1:6" x14ac:dyDescent="0.25">
      <c r="A25" s="263" t="s">
        <v>210</v>
      </c>
      <c r="B25" s="263"/>
      <c r="C25" s="268"/>
      <c r="D25" s="54">
        <v>0.84</v>
      </c>
      <c r="E25" s="267"/>
      <c r="F25" s="259">
        <f>C25*(D25+E25)</f>
        <v>0</v>
      </c>
    </row>
    <row r="26" spans="1:6" x14ac:dyDescent="0.25">
      <c r="A26" s="263" t="s">
        <v>211</v>
      </c>
      <c r="B26" s="263"/>
      <c r="C26" s="268"/>
      <c r="D26" s="122">
        <v>0.89</v>
      </c>
      <c r="E26" s="267"/>
      <c r="F26" s="259"/>
    </row>
    <row r="27" spans="1:6" x14ac:dyDescent="0.25">
      <c r="A27" s="260" t="s">
        <v>212</v>
      </c>
      <c r="B27" s="260"/>
      <c r="C27" s="260"/>
      <c r="D27" s="260"/>
      <c r="E27" s="260"/>
      <c r="F27" s="123">
        <f>IF(SUM(E5:E26)&gt;0,1,0)</f>
        <v>0</v>
      </c>
    </row>
    <row r="28" spans="1:6" ht="21" x14ac:dyDescent="0.35">
      <c r="A28" s="33" t="s">
        <v>89</v>
      </c>
      <c r="B28" s="33"/>
      <c r="C28" s="33"/>
      <c r="D28" s="33"/>
      <c r="E28" s="33"/>
      <c r="F28" s="33"/>
    </row>
    <row r="29" spans="1:6" x14ac:dyDescent="0.25">
      <c r="A29" s="1" t="s">
        <v>90</v>
      </c>
      <c r="B29" s="7"/>
      <c r="C29" s="1" t="s">
        <v>154</v>
      </c>
      <c r="D29" s="1" t="s">
        <v>81</v>
      </c>
      <c r="E29" s="1" t="s">
        <v>82</v>
      </c>
      <c r="F29" s="1" t="s">
        <v>83</v>
      </c>
    </row>
    <row r="30" spans="1:6" ht="30" x14ac:dyDescent="0.25">
      <c r="A30" s="11">
        <v>1</v>
      </c>
      <c r="B30" s="82" t="s">
        <v>213</v>
      </c>
      <c r="C30" s="179"/>
      <c r="D30" s="179"/>
      <c r="E30" s="179"/>
      <c r="F30" s="11"/>
    </row>
    <row r="31" spans="1:6" ht="30" x14ac:dyDescent="0.25">
      <c r="A31" s="12">
        <v>2</v>
      </c>
      <c r="B31" s="23" t="s">
        <v>93</v>
      </c>
      <c r="C31" s="171"/>
      <c r="D31" s="171"/>
      <c r="E31" s="171"/>
      <c r="F31" s="12"/>
    </row>
    <row r="32" spans="1:6" ht="30" x14ac:dyDescent="0.25">
      <c r="A32" s="11">
        <v>3</v>
      </c>
      <c r="B32" s="82" t="s">
        <v>95</v>
      </c>
      <c r="C32" s="172"/>
      <c r="D32" s="172"/>
      <c r="E32" s="172"/>
      <c r="F32" s="11"/>
    </row>
    <row r="33" spans="1:6" ht="30" x14ac:dyDescent="0.25">
      <c r="A33" s="12">
        <v>4</v>
      </c>
      <c r="B33" s="23" t="s">
        <v>96</v>
      </c>
      <c r="C33" s="173"/>
      <c r="D33" s="173"/>
      <c r="E33" s="173"/>
      <c r="F33" s="12"/>
    </row>
    <row r="34" spans="1:6" ht="30" x14ac:dyDescent="0.25">
      <c r="A34" s="11">
        <v>5</v>
      </c>
      <c r="B34" s="21" t="s">
        <v>156</v>
      </c>
      <c r="C34" s="50">
        <f>ROUND(SUM(C32:C33),2)</f>
        <v>0</v>
      </c>
      <c r="D34" s="50">
        <f>ROUND(SUM(D32:D33),2)</f>
        <v>0</v>
      </c>
      <c r="E34" s="50">
        <f>ROUND(SUM(E32:E33),2)</f>
        <v>0</v>
      </c>
      <c r="F34" s="11" t="s">
        <v>98</v>
      </c>
    </row>
    <row r="35" spans="1:6" ht="30" x14ac:dyDescent="0.25">
      <c r="A35" s="12">
        <v>6</v>
      </c>
      <c r="B35" s="23" t="s">
        <v>99</v>
      </c>
      <c r="C35" s="50">
        <f>IFERROR(ROUND((C34/C31),2),0)</f>
        <v>0</v>
      </c>
      <c r="D35" s="50">
        <f>IFERROR(ROUND((D34/D31),2),0)</f>
        <v>0</v>
      </c>
      <c r="E35" s="50">
        <f>IFERROR(ROUND((E34/E31),2),0)</f>
        <v>0</v>
      </c>
      <c r="F35" s="36" t="s">
        <v>100</v>
      </c>
    </row>
    <row r="36" spans="1:6" ht="21" x14ac:dyDescent="0.35">
      <c r="A36" s="200" t="s">
        <v>157</v>
      </c>
      <c r="B36" s="200"/>
      <c r="C36" s="200"/>
      <c r="D36" s="200"/>
      <c r="E36" s="200"/>
      <c r="F36" s="200"/>
    </row>
    <row r="37" spans="1:6" ht="30" x14ac:dyDescent="0.25">
      <c r="A37" s="42" t="s">
        <v>102</v>
      </c>
      <c r="B37" s="27" t="s">
        <v>159</v>
      </c>
      <c r="C37" s="27" t="s">
        <v>160</v>
      </c>
      <c r="D37" s="27" t="s">
        <v>161</v>
      </c>
      <c r="E37" s="27" t="s">
        <v>162</v>
      </c>
      <c r="F37" s="225" t="s">
        <v>83</v>
      </c>
    </row>
    <row r="38" spans="1:6" x14ac:dyDescent="0.25">
      <c r="A38" s="42" t="s">
        <v>107</v>
      </c>
      <c r="B38" s="27" t="s">
        <v>164</v>
      </c>
      <c r="C38" s="27" t="s">
        <v>174</v>
      </c>
      <c r="D38" s="27" t="s">
        <v>109</v>
      </c>
      <c r="E38" s="27" t="s">
        <v>166</v>
      </c>
      <c r="F38" s="225"/>
    </row>
    <row r="39" spans="1:6" x14ac:dyDescent="0.25">
      <c r="A39" s="24" t="s">
        <v>113</v>
      </c>
      <c r="B39" s="45">
        <f>ROUNDUP(SUM(F5:F26),0)</f>
        <v>0</v>
      </c>
      <c r="C39" s="49">
        <f>C35</f>
        <v>0</v>
      </c>
      <c r="D39" s="88">
        <f>ROUNDUP((B39*C39),2)</f>
        <v>0</v>
      </c>
      <c r="E39" s="270">
        <f>IF((SUM(D39:D41))=0,0,125)</f>
        <v>0</v>
      </c>
      <c r="F39" s="35" t="s">
        <v>214</v>
      </c>
    </row>
    <row r="40" spans="1:6" x14ac:dyDescent="0.25">
      <c r="A40" s="15" t="s">
        <v>215</v>
      </c>
      <c r="B40" s="54">
        <v>24</v>
      </c>
      <c r="C40" s="49">
        <f>D35</f>
        <v>0</v>
      </c>
      <c r="D40" s="88">
        <f>ROUNDUP((B40*C40),2)</f>
        <v>0</v>
      </c>
      <c r="E40" s="271"/>
      <c r="F40" s="57" t="s">
        <v>216</v>
      </c>
    </row>
    <row r="41" spans="1:6" x14ac:dyDescent="0.25">
      <c r="A41" s="8" t="s">
        <v>217</v>
      </c>
      <c r="B41" s="54">
        <f>(10+F27)</f>
        <v>10</v>
      </c>
      <c r="C41" s="55">
        <f>E35</f>
        <v>0</v>
      </c>
      <c r="D41" s="145">
        <f>IF((F27=0),(B41*C41),((B41+1)*C41))</f>
        <v>0</v>
      </c>
      <c r="E41" s="272"/>
      <c r="F41" s="35" t="s">
        <v>218</v>
      </c>
    </row>
    <row r="42" spans="1:6" ht="21" x14ac:dyDescent="0.35">
      <c r="A42" s="200" t="s">
        <v>169</v>
      </c>
      <c r="B42" s="200"/>
      <c r="C42" s="200"/>
      <c r="D42" s="200"/>
      <c r="E42" s="200"/>
      <c r="F42" s="200"/>
    </row>
    <row r="43" spans="1:6" ht="15" customHeight="1" x14ac:dyDescent="0.25">
      <c r="A43" s="1" t="s">
        <v>102</v>
      </c>
      <c r="B43" s="27" t="s">
        <v>170</v>
      </c>
      <c r="C43" s="27" t="s">
        <v>160</v>
      </c>
      <c r="D43" s="27" t="s">
        <v>171</v>
      </c>
      <c r="E43" s="29" t="s">
        <v>172</v>
      </c>
      <c r="F43" s="208" t="s">
        <v>83</v>
      </c>
    </row>
    <row r="44" spans="1:6" x14ac:dyDescent="0.25">
      <c r="A44" s="1" t="s">
        <v>107</v>
      </c>
      <c r="B44" s="27" t="s">
        <v>219</v>
      </c>
      <c r="C44" s="27" t="s">
        <v>174</v>
      </c>
      <c r="D44" s="29" t="s">
        <v>175</v>
      </c>
      <c r="E44" s="29" t="s">
        <v>220</v>
      </c>
      <c r="F44" s="208"/>
    </row>
    <row r="45" spans="1:6" ht="30" x14ac:dyDescent="0.25">
      <c r="A45" s="24" t="s">
        <v>113</v>
      </c>
      <c r="B45" s="181"/>
      <c r="C45" s="44">
        <f>C35</f>
        <v>0</v>
      </c>
      <c r="D45" s="44">
        <f>B45*C45</f>
        <v>0</v>
      </c>
      <c r="E45" s="180"/>
      <c r="F45" s="84" t="s">
        <v>177</v>
      </c>
    </row>
    <row r="46" spans="1:6" ht="21" x14ac:dyDescent="0.35">
      <c r="A46" s="200" t="s">
        <v>221</v>
      </c>
      <c r="B46" s="200"/>
      <c r="C46" s="200"/>
      <c r="D46" s="200"/>
      <c r="E46" s="200"/>
      <c r="F46" s="200"/>
    </row>
    <row r="47" spans="1:6" ht="15" customHeight="1" x14ac:dyDescent="0.25">
      <c r="A47" s="29"/>
      <c r="B47" s="29"/>
      <c r="C47" s="27" t="s">
        <v>222</v>
      </c>
      <c r="D47" s="225" t="s">
        <v>83</v>
      </c>
      <c r="E47" s="225"/>
      <c r="F47" s="225"/>
    </row>
    <row r="48" spans="1:6" x14ac:dyDescent="0.25">
      <c r="A48" s="11">
        <v>1</v>
      </c>
      <c r="B48" s="22" t="s">
        <v>223</v>
      </c>
      <c r="C48" s="179"/>
      <c r="D48" s="247" t="s">
        <v>224</v>
      </c>
      <c r="E48" s="248"/>
      <c r="F48" s="248"/>
    </row>
    <row r="49" spans="1:6" x14ac:dyDescent="0.25">
      <c r="A49" s="12">
        <v>2</v>
      </c>
      <c r="B49" s="23" t="s">
        <v>225</v>
      </c>
      <c r="C49" s="179"/>
      <c r="D49" s="269" t="s">
        <v>408</v>
      </c>
      <c r="E49" s="250"/>
      <c r="F49" s="250"/>
    </row>
    <row r="50" spans="1:6" ht="21" x14ac:dyDescent="0.35">
      <c r="A50" s="200" t="s">
        <v>226</v>
      </c>
      <c r="B50" s="200"/>
      <c r="C50" s="200"/>
      <c r="D50" s="200"/>
      <c r="E50" s="200"/>
      <c r="F50" s="200"/>
    </row>
    <row r="51" spans="1:6" x14ac:dyDescent="0.25">
      <c r="A51" s="241" t="s">
        <v>179</v>
      </c>
      <c r="B51" s="241"/>
      <c r="C51" s="241"/>
      <c r="D51" s="241"/>
      <c r="E51" s="241"/>
      <c r="F51" s="60">
        <f>ROUNDUP((SUM(D39:D41)+E39),0)</f>
        <v>0</v>
      </c>
    </row>
    <row r="52" spans="1:6" x14ac:dyDescent="0.25">
      <c r="A52" s="59"/>
      <c r="B52" s="59"/>
      <c r="C52" s="59"/>
      <c r="D52" s="59"/>
      <c r="E52" s="59" t="s">
        <v>227</v>
      </c>
      <c r="F52" s="60">
        <f>D45+E45</f>
        <v>0</v>
      </c>
    </row>
    <row r="53" spans="1:6" ht="15.75" thickBot="1" x14ac:dyDescent="0.3">
      <c r="A53" s="241" t="s">
        <v>228</v>
      </c>
      <c r="B53" s="241"/>
      <c r="C53" s="241"/>
      <c r="D53" s="241"/>
      <c r="E53" s="241"/>
      <c r="F53" s="60">
        <f>250*C49</f>
        <v>0</v>
      </c>
    </row>
    <row r="54" spans="1:6" ht="19.5" thickBot="1" x14ac:dyDescent="0.35">
      <c r="A54" s="220" t="s">
        <v>229</v>
      </c>
      <c r="B54" s="220"/>
      <c r="C54" s="220"/>
      <c r="D54" s="220"/>
      <c r="E54" s="221"/>
      <c r="F54" s="40">
        <f>ROUNDUP((SUM(F51:F53)),0)</f>
        <v>0</v>
      </c>
    </row>
  </sheetData>
  <sheetProtection algorithmName="SHA-512" hashValue="I3Lbxa9VXPA1fjepzMbqoU9Ou/FRYaPYBrTPASajs28sFHpYTiB58cEtgLKZPp3ZHKluPvmKToDpGATe2hkR0w==" saltValue="OuneMaMzmo3N7zukodSiTQ==" spinCount="100000" sheet="1" objects="1" scenarios="1" formatCells="0" formatColumns="0" formatRows="0" insertColumns="0" insertRows="0" insertHyperlinks="0" deleteColumns="0" deleteRows="0" sort="0"/>
  <mergeCells count="72">
    <mergeCell ref="A1:F1"/>
    <mergeCell ref="A50:F50"/>
    <mergeCell ref="A51:E51"/>
    <mergeCell ref="A53:E53"/>
    <mergeCell ref="A36:F36"/>
    <mergeCell ref="A2:F2"/>
    <mergeCell ref="F3:F4"/>
    <mergeCell ref="C5:C6"/>
    <mergeCell ref="E5:E6"/>
    <mergeCell ref="F5:F6"/>
    <mergeCell ref="C9:C10"/>
    <mergeCell ref="E9:E10"/>
    <mergeCell ref="F9:F10"/>
    <mergeCell ref="C11:C12"/>
    <mergeCell ref="E11:E12"/>
    <mergeCell ref="C17:C18"/>
    <mergeCell ref="A54:E54"/>
    <mergeCell ref="F37:F38"/>
    <mergeCell ref="A46:F46"/>
    <mergeCell ref="D47:F47"/>
    <mergeCell ref="D48:F48"/>
    <mergeCell ref="D49:F49"/>
    <mergeCell ref="A42:F42"/>
    <mergeCell ref="F43:F44"/>
    <mergeCell ref="E39:E41"/>
    <mergeCell ref="E17:E18"/>
    <mergeCell ref="F17:F18"/>
    <mergeCell ref="F11:F12"/>
    <mergeCell ref="C13:C14"/>
    <mergeCell ref="E13:E14"/>
    <mergeCell ref="F13:F14"/>
    <mergeCell ref="C15:C16"/>
    <mergeCell ref="E15:E16"/>
    <mergeCell ref="F15:F16"/>
    <mergeCell ref="F23:F24"/>
    <mergeCell ref="C25:C26"/>
    <mergeCell ref="E25:E26"/>
    <mergeCell ref="F25:F26"/>
    <mergeCell ref="C19:C20"/>
    <mergeCell ref="E19:E20"/>
    <mergeCell ref="F19:F20"/>
    <mergeCell ref="C21:C22"/>
    <mergeCell ref="E21:E22"/>
    <mergeCell ref="F21:F22"/>
    <mergeCell ref="A3:B4"/>
    <mergeCell ref="A5:B5"/>
    <mergeCell ref="A6:B6"/>
    <mergeCell ref="A9:B9"/>
    <mergeCell ref="A10:B10"/>
    <mergeCell ref="A7:B7"/>
    <mergeCell ref="A18:B18"/>
    <mergeCell ref="A11:B11"/>
    <mergeCell ref="A12:B12"/>
    <mergeCell ref="A13:B13"/>
    <mergeCell ref="A14:B14"/>
    <mergeCell ref="A15:B15"/>
    <mergeCell ref="C7:C8"/>
    <mergeCell ref="E7:E8"/>
    <mergeCell ref="F7:F8"/>
    <mergeCell ref="A27:E27"/>
    <mergeCell ref="A24:B24"/>
    <mergeCell ref="A25:B25"/>
    <mergeCell ref="A26:B26"/>
    <mergeCell ref="A19:B19"/>
    <mergeCell ref="A20:B20"/>
    <mergeCell ref="A21:B21"/>
    <mergeCell ref="A22:B22"/>
    <mergeCell ref="A23:B23"/>
    <mergeCell ref="C23:C24"/>
    <mergeCell ref="E23:E24"/>
    <mergeCell ref="A16:B16"/>
    <mergeCell ref="A17:B17"/>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28C70A-E7F0-4C95-AE2F-10FECE352091}">
  <dimension ref="A1:D12"/>
  <sheetViews>
    <sheetView zoomScaleNormal="100" workbookViewId="0">
      <selection activeCell="D13" sqref="D13"/>
    </sheetView>
  </sheetViews>
  <sheetFormatPr defaultRowHeight="15" x14ac:dyDescent="0.25"/>
  <cols>
    <col min="1" max="1" width="7.42578125" customWidth="1"/>
    <col min="2" max="2" width="47.140625" bestFit="1" customWidth="1"/>
    <col min="3" max="3" width="12.42578125" customWidth="1"/>
    <col min="4" max="4" width="52.7109375" bestFit="1" customWidth="1"/>
  </cols>
  <sheetData>
    <row r="1" spans="1:4" ht="30" customHeight="1" x14ac:dyDescent="0.45">
      <c r="A1" s="202" t="s">
        <v>230</v>
      </c>
      <c r="B1" s="202"/>
      <c r="C1" s="202"/>
      <c r="D1" s="202"/>
    </row>
    <row r="2" spans="1:4" ht="21" x14ac:dyDescent="0.35">
      <c r="A2" s="200" t="s">
        <v>231</v>
      </c>
      <c r="B2" s="200"/>
      <c r="C2" s="200"/>
      <c r="D2" s="200"/>
    </row>
    <row r="3" spans="1:4" ht="18.75" x14ac:dyDescent="0.3">
      <c r="A3" s="278" t="s">
        <v>232</v>
      </c>
      <c r="B3" s="278"/>
      <c r="C3" s="278"/>
      <c r="D3" s="278"/>
    </row>
    <row r="4" spans="1:4" x14ac:dyDescent="0.25">
      <c r="A4" s="6"/>
      <c r="B4" s="6"/>
      <c r="C4" s="6"/>
      <c r="D4" s="29" t="s">
        <v>233</v>
      </c>
    </row>
    <row r="5" spans="1:4" ht="15" customHeight="1" x14ac:dyDescent="0.25">
      <c r="A5" s="11">
        <v>1</v>
      </c>
      <c r="B5" s="22" t="s">
        <v>234</v>
      </c>
      <c r="C5" s="171"/>
      <c r="D5" s="35" t="s">
        <v>235</v>
      </c>
    </row>
    <row r="6" spans="1:4" x14ac:dyDescent="0.25">
      <c r="A6" s="12">
        <v>2</v>
      </c>
      <c r="B6" s="23" t="s">
        <v>236</v>
      </c>
      <c r="C6" s="52">
        <v>15</v>
      </c>
      <c r="D6" s="12" t="s">
        <v>237</v>
      </c>
    </row>
    <row r="7" spans="1:4" x14ac:dyDescent="0.25">
      <c r="A7" s="11">
        <v>3</v>
      </c>
      <c r="B7" s="22" t="s">
        <v>238</v>
      </c>
      <c r="C7" s="171"/>
      <c r="D7" s="35" t="s">
        <v>235</v>
      </c>
    </row>
    <row r="8" spans="1:4" x14ac:dyDescent="0.25">
      <c r="A8" s="12">
        <v>4</v>
      </c>
      <c r="B8" s="23" t="s">
        <v>239</v>
      </c>
      <c r="C8" s="52">
        <v>110</v>
      </c>
      <c r="D8" s="12" t="s">
        <v>240</v>
      </c>
    </row>
    <row r="9" spans="1:4" ht="21" x14ac:dyDescent="0.35">
      <c r="A9" s="200" t="s">
        <v>241</v>
      </c>
      <c r="B9" s="200"/>
      <c r="C9" s="200"/>
      <c r="D9" s="200"/>
    </row>
    <row r="10" spans="1:4" x14ac:dyDescent="0.25">
      <c r="A10" s="276" t="s">
        <v>242</v>
      </c>
      <c r="B10" s="276"/>
      <c r="C10" s="276"/>
      <c r="D10" s="53">
        <f>C5*C6</f>
        <v>0</v>
      </c>
    </row>
    <row r="11" spans="1:4" ht="15.75" thickBot="1" x14ac:dyDescent="0.3">
      <c r="A11" s="277" t="s">
        <v>243</v>
      </c>
      <c r="B11" s="277"/>
      <c r="C11" s="277"/>
      <c r="D11" s="53">
        <f>C7*C8</f>
        <v>0</v>
      </c>
    </row>
    <row r="12" spans="1:4" ht="19.5" thickBot="1" x14ac:dyDescent="0.35">
      <c r="A12" s="275" t="s">
        <v>244</v>
      </c>
      <c r="B12" s="275"/>
      <c r="C12" s="221"/>
      <c r="D12" s="41">
        <f>ROUNDUP((SUM(D10:D11)),)</f>
        <v>0</v>
      </c>
    </row>
  </sheetData>
  <sheetProtection algorithmName="SHA-512" hashValue="4xD7ABCne/7rX5ppq3NvSbrleLrxqg7ZbjRd0yMvYj7Kr3FoXYJKEPHFg1OlFxi+fv1z3N4hd1zIvkdEJoDztg==" saltValue="qE+2ClBVJMJgt4YXDn0MFw==" spinCount="100000" sheet="1" objects="1" scenarios="1" formatCells="0" formatColumns="0" formatRows="0" insertColumns="0" insertRows="0" insertHyperlinks="0" deleteColumns="0" deleteRows="0" sort="0"/>
  <mergeCells count="7">
    <mergeCell ref="A12:C12"/>
    <mergeCell ref="A1:D1"/>
    <mergeCell ref="A2:D2"/>
    <mergeCell ref="A9:D9"/>
    <mergeCell ref="A10:C10"/>
    <mergeCell ref="A11:C11"/>
    <mergeCell ref="A3:D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49602ebb-66ce-4d03-9a64-dbbf5f907222" xsi:nil="true"/>
    <lcf76f155ced4ddcb4097134ff3c332f xmlns="d3ce4999-5f70-4d72-a5f7-0078b14d5777">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40C14213E0B0A48A1DCE90B43CA6E7C" ma:contentTypeVersion="15" ma:contentTypeDescription="Create a new document." ma:contentTypeScope="" ma:versionID="4af9276372ebf5740222945c7f838e21">
  <xsd:schema xmlns:xsd="http://www.w3.org/2001/XMLSchema" xmlns:xs="http://www.w3.org/2001/XMLSchema" xmlns:p="http://schemas.microsoft.com/office/2006/metadata/properties" xmlns:ns2="d3ce4999-5f70-4d72-a5f7-0078b14d5777" xmlns:ns3="49602ebb-66ce-4d03-9a64-dbbf5f907222" targetNamespace="http://schemas.microsoft.com/office/2006/metadata/properties" ma:root="true" ma:fieldsID="0eed76e7a136f8c69136ff302629ff64" ns2:_="" ns3:_="">
    <xsd:import namespace="d3ce4999-5f70-4d72-a5f7-0078b14d5777"/>
    <xsd:import namespace="49602ebb-66ce-4d03-9a64-dbbf5f90722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ce4999-5f70-4d72-a5f7-0078b14d57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84ff23e3-e101-494d-9ca5-fbd63573679e"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9602ebb-66ce-4d03-9a64-dbbf5f90722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f6ad6a93-d306-41fd-abe9-ff576e4a28cb}" ma:internalName="TaxCatchAll" ma:showField="CatchAllData" ma:web="49602ebb-66ce-4d03-9a64-dbbf5f90722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007692A-BC88-42F2-A8BC-50AC96823DE2}">
  <ds:schemaRefs>
    <ds:schemaRef ds:uri="http://schemas.microsoft.com/sharepoint/v3/contenttype/forms"/>
  </ds:schemaRefs>
</ds:datastoreItem>
</file>

<file path=customXml/itemProps2.xml><?xml version="1.0" encoding="utf-8"?>
<ds:datastoreItem xmlns:ds="http://schemas.openxmlformats.org/officeDocument/2006/customXml" ds:itemID="{104F6E90-B1EF-47A4-809F-223E061986AA}">
  <ds:schemaRefs>
    <ds:schemaRef ds:uri="49602ebb-66ce-4d03-9a64-dbbf5f907222"/>
    <ds:schemaRef ds:uri="http://purl.org/dc/elements/1.1/"/>
    <ds:schemaRef ds:uri="d3ce4999-5f70-4d72-a5f7-0078b14d5777"/>
    <ds:schemaRef ds:uri="http://schemas.microsoft.com/office/2006/metadata/properties"/>
    <ds:schemaRef ds:uri="http://purl.org/dc/terms/"/>
    <ds:schemaRef ds:uri="http://schemas.microsoft.com/office/2006/documentManagement/types"/>
    <ds:schemaRef ds:uri="http://schemas.openxmlformats.org/package/2006/metadata/core-properti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0EF77DF4-4FE3-472B-ACB6-3869F11641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3ce4999-5f70-4d72-a5f7-0078b14d5777"/>
    <ds:schemaRef ds:uri="49602ebb-66ce-4d03-9a64-dbbf5f90722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22</vt:i4>
      </vt:variant>
    </vt:vector>
  </HeadingPairs>
  <TitlesOfParts>
    <vt:vector size="22" baseType="lpstr">
      <vt:lpstr>Instructions</vt:lpstr>
      <vt:lpstr>Prep-Applicant</vt:lpstr>
      <vt:lpstr>Prep- Enrollment</vt:lpstr>
      <vt:lpstr>Prep-Parameter</vt:lpstr>
      <vt:lpstr>Mandate 1</vt:lpstr>
      <vt:lpstr>Mandate 2</vt:lpstr>
      <vt:lpstr>Mandate 3</vt:lpstr>
      <vt:lpstr>Mandate 4</vt:lpstr>
      <vt:lpstr>Mandate 6</vt:lpstr>
      <vt:lpstr>Mandate 7</vt:lpstr>
      <vt:lpstr>Mandate 8</vt:lpstr>
      <vt:lpstr>Mandate 9</vt:lpstr>
      <vt:lpstr>Mandate 10</vt:lpstr>
      <vt:lpstr>Mandate 11</vt:lpstr>
      <vt:lpstr>Mandate 12</vt:lpstr>
      <vt:lpstr>Mandate 13</vt:lpstr>
      <vt:lpstr>Mandate 14</vt:lpstr>
      <vt:lpstr>Mandate 17</vt:lpstr>
      <vt:lpstr>Mandate 18</vt:lpstr>
      <vt:lpstr>Mandate 19</vt:lpstr>
      <vt:lpstr>CAP</vt:lpstr>
      <vt:lpstr>Summary of Expenditures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Alisha Hennet</dc:creator>
  <cp:keywords/>
  <dc:description/>
  <cp:lastModifiedBy>Nicole Madlin</cp:lastModifiedBy>
  <cp:revision/>
  <dcterms:created xsi:type="dcterms:W3CDTF">2025-01-16T16:30:09Z</dcterms:created>
  <dcterms:modified xsi:type="dcterms:W3CDTF">2025-02-10T18:56:29Z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0x010100F40C14213E0B0A48A1DCE90B43CA6E7C</vt:lpwstr>
  </property>
  <property fmtid="{D5CDD505-2E9C-101B-9397-08002B2CF9AE}" pid="3" name="MediaServiceImageTags">
    <vt:lpwstr/>
  </property>
</Properties>
</file>